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hidePivotFieldList="1"/>
  <mc:AlternateContent xmlns:mc="http://schemas.openxmlformats.org/markup-compatibility/2006">
    <mc:Choice Requires="x15">
      <x15ac:absPath xmlns:x15ac="http://schemas.microsoft.com/office/spreadsheetml/2010/11/ac" url="https://regioncentral-my.sharepoint.com/personal/nnaranjo_regioncentralrape_gov_co/Documents/BACKUP CONTRATOS RAPE 31072015/REPORTE DE INFORMACIÓN/2017/corte 31 dic/"/>
    </mc:Choice>
  </mc:AlternateContent>
  <bookViews>
    <workbookView xWindow="0" yWindow="0" windowWidth="20490" windowHeight="7530" tabRatio="883" activeTab="1" xr2:uid="{00000000-000D-0000-FFFF-FFFF00000000}"/>
  </bookViews>
  <sheets>
    <sheet name="LISTAS" sheetId="1" r:id="rId1"/>
    <sheet name="PLAN CONTRATACIÓN 2017" sheetId="2" r:id="rId2"/>
    <sheet name="Hoja1" sheetId="45" r:id="rId3"/>
    <sheet name="Hoja2 (2)" sheetId="44" r:id="rId4"/>
    <sheet name="Hoja2 (3)" sheetId="46" r:id="rId5"/>
    <sheet name="COMUNICACION" sheetId="35" r:id="rId6"/>
    <sheet name="Hoja5" sheetId="29" r:id="rId7"/>
    <sheet name="Hoja2" sheetId="11" r:id="rId8"/>
    <sheet name="agosto al 26 de oct" sheetId="27" r:id="rId9"/>
    <sheet name="Sept al 26 de oct" sheetId="30" r:id="rId10"/>
    <sheet name="Oct al 26 de oct" sheetId="31" r:id="rId11"/>
    <sheet name="Sept al 7 de nov" sheetId="39" r:id="rId12"/>
    <sheet name="Octubre al 7 Nov" sheetId="37" r:id="rId13"/>
    <sheet name="Nov al 7 Nov" sheetId="38" r:id="rId14"/>
    <sheet name="Sept al 15 de nov" sheetId="41" r:id="rId15"/>
    <sheet name="Octubre a 15 de Nov" sheetId="42" r:id="rId16"/>
    <sheet name="Nov al 15 de nov" sheetId="4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1" hidden="1">'PLAN CONTRATACIÓN 2017'!$A$9:$U$310</definedName>
    <definedName name="_xlnm.Print_Area" localSheetId="2">Hoja1!$A$1:$H$32</definedName>
    <definedName name="_xlnm.Print_Area" localSheetId="6">Hoja5!$A$1:$G$69</definedName>
    <definedName name="_xlnm.Print_Area" localSheetId="1">'PLAN CONTRATACIÓN 2017'!$A$1:$P$315</definedName>
    <definedName name="_xlnm.Print_Area" localSheetId="9">'Sept al 26 de oct'!$A$1:$H$37</definedName>
    <definedName name="_xlnm.Print_Titles" localSheetId="8">'agosto al 26 de oct'!$2:$2</definedName>
    <definedName name="_xlnm.Print_Titles" localSheetId="2">Hoja1!$3:$3</definedName>
    <definedName name="_xlnm.Print_Titles" localSheetId="10">'Oct al 26 de oct'!$2:$2</definedName>
    <definedName name="_xlnm.Print_Titles" localSheetId="1">'PLAN CONTRATACIÓN 2017'!$9:$9</definedName>
    <definedName name="_xlnm.Print_Titles" localSheetId="9">'Sept al 26 de oct'!$2:$2</definedName>
    <definedName name="Z_AAF2946E_7453_46F2_916B_BAC2F187BBE7_.wvu.FilterData" localSheetId="1" hidden="1">'PLAN CONTRATACIÓN 2017'!$A$9:$P$249</definedName>
    <definedName name="Z_AAF2946E_7453_46F2_916B_BAC2F187BBE7_.wvu.PrintArea" localSheetId="1" hidden="1">'PLAN CONTRATACIÓN 2017'!$A$9:$P$414</definedName>
    <definedName name="Z_BC91FB49_42C0_4693_8A12_AF7ACDEEF192_.wvu.FilterData" localSheetId="1" hidden="1">'PLAN CONTRATACIÓN 2017'!$A$9:$P$249</definedName>
    <definedName name="Z_BC91FB49_42C0_4693_8A12_AF7ACDEEF192_.wvu.PrintArea" localSheetId="1" hidden="1">'PLAN CONTRATACIÓN 2017'!$A$9:$P$414</definedName>
  </definedNames>
  <calcPr calcId="171027"/>
  <customWorkbookViews>
    <customWorkbookView name="Oscar Flórez Moreno - Vista personalizada" guid="{AAF2946E-7453-46F2-916B-BAC2F187BBE7}" mergeInterval="0" personalView="1" maximized="1" xWindow="-8" yWindow="-8" windowWidth="1936" windowHeight="1056" tabRatio="883" activeSheetId="2"/>
    <customWorkbookView name="Edwin Andres EC. Clavijo Romero - Vista personalizada" guid="{BC91FB49-42C0-4693-8A12-AF7ACDEEF192}" mergeInterval="0" personalView="1" maximized="1" xWindow="-8" yWindow="-8" windowWidth="1936" windowHeight="1056" tabRatio="883" activeSheetId="2"/>
  </customWorkbookViews>
  <pivotCaches>
    <pivotCache cacheId="1" r:id="rId31"/>
    <pivotCache cacheId="2" r:id="rId32"/>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9" i="2" l="1"/>
  <c r="E138" i="2"/>
  <c r="E52" i="2"/>
  <c r="P58" i="2"/>
  <c r="G8" i="45"/>
  <c r="H8" i="45"/>
  <c r="G20" i="45"/>
  <c r="H20" i="45"/>
  <c r="G25" i="45"/>
  <c r="H25" i="45"/>
  <c r="G31" i="45"/>
  <c r="H31" i="45"/>
  <c r="G32" i="45"/>
  <c r="H32" i="45"/>
  <c r="B63" i="29"/>
  <c r="A59" i="29"/>
  <c r="E32" i="35"/>
  <c r="E27" i="35"/>
  <c r="C27" i="35"/>
  <c r="E25" i="35"/>
  <c r="E20" i="35"/>
  <c r="E16" i="35"/>
  <c r="E15" i="35"/>
  <c r="E13" i="35"/>
  <c r="C13" i="35"/>
  <c r="I9" i="35"/>
  <c r="E9" i="35"/>
  <c r="C9" i="35"/>
  <c r="I5" i="35"/>
  <c r="E5" i="35"/>
  <c r="E3" i="35"/>
  <c r="C3" i="35"/>
  <c r="O308" i="2"/>
  <c r="P306" i="2"/>
  <c r="P305" i="2"/>
  <c r="E305" i="2"/>
  <c r="P304" i="2"/>
  <c r="E304" i="2"/>
  <c r="P303" i="2"/>
  <c r="P302" i="2"/>
  <c r="E302" i="2"/>
  <c r="P301" i="2"/>
  <c r="E301" i="2"/>
  <c r="P300" i="2"/>
  <c r="E300" i="2"/>
  <c r="P299" i="2"/>
  <c r="E299" i="2"/>
  <c r="P298" i="2"/>
  <c r="P297" i="2"/>
  <c r="P296" i="2"/>
  <c r="E296" i="2"/>
  <c r="P295" i="2"/>
  <c r="E295" i="2"/>
  <c r="P294" i="2"/>
  <c r="E294" i="2"/>
  <c r="P293" i="2"/>
  <c r="E293" i="2"/>
  <c r="P292" i="2"/>
  <c r="E292" i="2"/>
  <c r="P291" i="2"/>
  <c r="E291" i="2"/>
  <c r="P290" i="2"/>
  <c r="E290" i="2"/>
  <c r="P289" i="2"/>
  <c r="E289" i="2"/>
  <c r="P288" i="2"/>
  <c r="P287" i="2"/>
  <c r="P286" i="2"/>
  <c r="P285" i="2"/>
  <c r="P284" i="2"/>
  <c r="P283" i="2"/>
  <c r="P282" i="2"/>
  <c r="P281" i="2"/>
  <c r="P280" i="2"/>
  <c r="E280" i="2"/>
  <c r="P279" i="2"/>
  <c r="E279" i="2"/>
  <c r="P278" i="2"/>
  <c r="E278" i="2"/>
  <c r="P277" i="2"/>
  <c r="E277" i="2"/>
  <c r="P276" i="2"/>
  <c r="E276" i="2"/>
  <c r="P275" i="2"/>
  <c r="E275" i="2"/>
  <c r="P274" i="2"/>
  <c r="E274" i="2"/>
  <c r="P273" i="2"/>
  <c r="E273" i="2"/>
  <c r="P272" i="2"/>
  <c r="E272" i="2"/>
  <c r="P271" i="2"/>
  <c r="E271" i="2"/>
  <c r="P270" i="2"/>
  <c r="E270" i="2"/>
  <c r="P269" i="2"/>
  <c r="E269" i="2"/>
  <c r="P268" i="2"/>
  <c r="E268" i="2"/>
  <c r="P267" i="2"/>
  <c r="E267" i="2"/>
  <c r="P266" i="2"/>
  <c r="E266" i="2"/>
  <c r="P265" i="2"/>
  <c r="E265" i="2"/>
  <c r="P264" i="2"/>
  <c r="E264" i="2"/>
  <c r="P263" i="2"/>
  <c r="E263" i="2"/>
  <c r="P262" i="2"/>
  <c r="E262" i="2"/>
  <c r="P261" i="2"/>
  <c r="E261" i="2"/>
  <c r="P260" i="2"/>
  <c r="E260" i="2"/>
  <c r="P259" i="2"/>
  <c r="E259" i="2"/>
  <c r="P258" i="2"/>
  <c r="E258" i="2"/>
  <c r="P257" i="2"/>
  <c r="E257" i="2"/>
  <c r="P256" i="2"/>
  <c r="E256" i="2"/>
  <c r="P255" i="2"/>
  <c r="E255" i="2"/>
  <c r="P254" i="2"/>
  <c r="E254" i="2"/>
  <c r="P253" i="2"/>
  <c r="E253" i="2"/>
  <c r="P252" i="2"/>
  <c r="E252" i="2"/>
  <c r="P251" i="2"/>
  <c r="P250" i="2"/>
  <c r="P249" i="2"/>
  <c r="P248" i="2"/>
  <c r="P247" i="2"/>
  <c r="P246" i="2"/>
  <c r="E246" i="2"/>
  <c r="P245" i="2"/>
  <c r="P244" i="2"/>
  <c r="E244" i="2"/>
  <c r="P243" i="2"/>
  <c r="P242" i="2"/>
  <c r="E242" i="2"/>
  <c r="P241" i="2"/>
  <c r="P240" i="2"/>
  <c r="P239" i="2"/>
  <c r="E239" i="2"/>
  <c r="P238" i="2"/>
  <c r="E238" i="2"/>
  <c r="P237" i="2"/>
  <c r="P236" i="2"/>
  <c r="P235" i="2"/>
  <c r="E235" i="2"/>
  <c r="P234" i="2"/>
  <c r="P233" i="2"/>
  <c r="J233" i="2"/>
  <c r="E233" i="2"/>
  <c r="P232" i="2"/>
  <c r="E232" i="2"/>
  <c r="P231" i="2"/>
  <c r="P230" i="2"/>
  <c r="E230" i="2"/>
  <c r="P229" i="2"/>
  <c r="P228" i="2"/>
  <c r="P227" i="2"/>
  <c r="P226" i="2"/>
  <c r="P225" i="2"/>
  <c r="E225" i="2"/>
  <c r="P224" i="2"/>
  <c r="E224" i="2"/>
  <c r="P223" i="2"/>
  <c r="P222" i="2"/>
  <c r="P221" i="2"/>
  <c r="P220" i="2"/>
  <c r="P219" i="2"/>
  <c r="E219" i="2"/>
  <c r="P218" i="2"/>
  <c r="E218" i="2"/>
  <c r="P217" i="2"/>
  <c r="P216" i="2"/>
  <c r="P215" i="2"/>
  <c r="P214" i="2"/>
  <c r="E214" i="2"/>
  <c r="P213" i="2"/>
  <c r="P212" i="2"/>
  <c r="E212" i="2"/>
  <c r="P211" i="2"/>
  <c r="E211" i="2"/>
  <c r="P210" i="2"/>
  <c r="E210" i="2"/>
  <c r="P209" i="2"/>
  <c r="P208" i="2"/>
  <c r="E208" i="2"/>
  <c r="P207" i="2"/>
  <c r="E207" i="2"/>
  <c r="P206" i="2"/>
  <c r="P205" i="2"/>
  <c r="P204" i="2"/>
  <c r="P203" i="2"/>
  <c r="P202" i="2"/>
  <c r="P201" i="2"/>
  <c r="P200" i="2"/>
  <c r="P199" i="2"/>
  <c r="E199" i="2"/>
  <c r="P198" i="2"/>
  <c r="B59" i="29"/>
  <c r="E198" i="2"/>
  <c r="P197" i="2"/>
  <c r="P196" i="2"/>
  <c r="E196" i="2"/>
  <c r="P195" i="2"/>
  <c r="E195" i="2"/>
  <c r="P194" i="2"/>
  <c r="P193" i="2"/>
  <c r="E193" i="2"/>
  <c r="P192" i="2"/>
  <c r="E192" i="2"/>
  <c r="P191" i="2"/>
  <c r="E191" i="2"/>
  <c r="P190" i="2"/>
  <c r="E190" i="2"/>
  <c r="P189" i="2"/>
  <c r="E189" i="2"/>
  <c r="P188" i="2"/>
  <c r="E188" i="2"/>
  <c r="P187" i="2"/>
  <c r="E187" i="2"/>
  <c r="P186" i="2"/>
  <c r="P185" i="2"/>
  <c r="E185" i="2"/>
  <c r="P184" i="2"/>
  <c r="E184" i="2"/>
  <c r="P183" i="2"/>
  <c r="E183" i="2"/>
  <c r="P182" i="2"/>
  <c r="P181" i="2"/>
  <c r="E181" i="2"/>
  <c r="P180" i="2"/>
  <c r="P179" i="2"/>
  <c r="P178" i="2"/>
  <c r="P177" i="2"/>
  <c r="P176" i="2"/>
  <c r="P175" i="2"/>
  <c r="P174" i="2"/>
  <c r="G34" i="35" s="1"/>
  <c r="E174" i="2"/>
  <c r="P173" i="2"/>
  <c r="P172" i="2"/>
  <c r="P171" i="2"/>
  <c r="P170" i="2"/>
  <c r="P169" i="2"/>
  <c r="E169" i="2"/>
  <c r="P168" i="2"/>
  <c r="E168" i="2"/>
  <c r="P167" i="2"/>
  <c r="P166" i="2"/>
  <c r="P165" i="2"/>
  <c r="E165" i="2"/>
  <c r="P164" i="2"/>
  <c r="P163" i="2"/>
  <c r="B64" i="29"/>
  <c r="B65" i="29" s="1"/>
  <c r="E163" i="2"/>
  <c r="P162" i="2"/>
  <c r="P161" i="2"/>
  <c r="P160" i="2"/>
  <c r="E160" i="2"/>
  <c r="P159" i="2"/>
  <c r="P158" i="2"/>
  <c r="P157" i="2"/>
  <c r="P156" i="2"/>
  <c r="E156" i="2"/>
  <c r="P155" i="2"/>
  <c r="E155" i="2"/>
  <c r="E154" i="2"/>
  <c r="P154" i="2"/>
  <c r="P153" i="2"/>
  <c r="E153" i="2"/>
  <c r="P152" i="2"/>
  <c r="P151" i="2"/>
  <c r="P150" i="2"/>
  <c r="P149" i="2"/>
  <c r="P148" i="2"/>
  <c r="P147" i="2"/>
  <c r="P146" i="2"/>
  <c r="P145" i="2"/>
  <c r="E144" i="2"/>
  <c r="P144" i="2" s="1"/>
  <c r="P143" i="2"/>
  <c r="O143" i="2"/>
  <c r="P142" i="2"/>
  <c r="P141" i="2"/>
  <c r="E141" i="2"/>
  <c r="P140" i="2"/>
  <c r="E140" i="2"/>
  <c r="P139" i="2"/>
  <c r="E139" i="2"/>
  <c r="P138" i="2"/>
  <c r="P137" i="2"/>
  <c r="E137" i="2"/>
  <c r="P136" i="2"/>
  <c r="P135" i="2"/>
  <c r="P134" i="2"/>
  <c r="P133" i="2"/>
  <c r="P132" i="2"/>
  <c r="P131" i="2"/>
  <c r="P130" i="2"/>
  <c r="P129" i="2"/>
  <c r="P128" i="2"/>
  <c r="E128" i="2"/>
  <c r="P127" i="2"/>
  <c r="P126" i="2"/>
  <c r="P125" i="2"/>
  <c r="P124" i="2"/>
  <c r="E124" i="2"/>
  <c r="P123" i="2"/>
  <c r="P122" i="2"/>
  <c r="P121" i="2"/>
  <c r="P120" i="2"/>
  <c r="P119" i="2"/>
  <c r="P118" i="2"/>
  <c r="P117" i="2"/>
  <c r="P116" i="2"/>
  <c r="P115" i="2"/>
  <c r="P114" i="2"/>
  <c r="P113" i="2"/>
  <c r="P112" i="2"/>
  <c r="P111" i="2"/>
  <c r="P110" i="2"/>
  <c r="P109" i="2"/>
  <c r="P108" i="2"/>
  <c r="P107" i="2"/>
  <c r="E107" i="2"/>
  <c r="P106" i="2"/>
  <c r="P105" i="2"/>
  <c r="E105" i="2"/>
  <c r="P104" i="2"/>
  <c r="E104" i="2"/>
  <c r="P103" i="2"/>
  <c r="P102" i="2"/>
  <c r="E102" i="2"/>
  <c r="P101" i="2"/>
  <c r="E101" i="2"/>
  <c r="P100" i="2"/>
  <c r="P99" i="2"/>
  <c r="E99" i="2"/>
  <c r="P98" i="2"/>
  <c r="E98" i="2"/>
  <c r="P97" i="2"/>
  <c r="P96" i="2"/>
  <c r="P95" i="2"/>
  <c r="P94" i="2"/>
  <c r="P93" i="2"/>
  <c r="P92" i="2"/>
  <c r="P91" i="2"/>
  <c r="E91" i="2"/>
  <c r="P90" i="2"/>
  <c r="P89" i="2"/>
  <c r="P88" i="2"/>
  <c r="P87" i="2"/>
  <c r="P86" i="2"/>
  <c r="E86" i="2"/>
  <c r="P85" i="2"/>
  <c r="P84" i="2"/>
  <c r="P83" i="2"/>
  <c r="P82" i="2"/>
  <c r="P81" i="2"/>
  <c r="P80" i="2"/>
  <c r="P79" i="2"/>
  <c r="P78" i="2"/>
  <c r="P77" i="2"/>
  <c r="P76" i="2"/>
  <c r="P75" i="2"/>
  <c r="P74" i="2"/>
  <c r="P73" i="2"/>
  <c r="P72" i="2"/>
  <c r="P71" i="2"/>
  <c r="E71" i="2"/>
  <c r="P70" i="2"/>
  <c r="P69" i="2"/>
  <c r="P68" i="2"/>
  <c r="E68" i="2"/>
  <c r="P67" i="2"/>
  <c r="E67" i="2"/>
  <c r="P66" i="2"/>
  <c r="E66" i="2"/>
  <c r="P65" i="2"/>
  <c r="P64" i="2"/>
  <c r="E64" i="2"/>
  <c r="P63" i="2"/>
  <c r="E63" i="2"/>
  <c r="P62" i="2"/>
  <c r="P61" i="2"/>
  <c r="E61" i="2"/>
  <c r="P60" i="2"/>
  <c r="P59" i="2"/>
  <c r="E59" i="2"/>
  <c r="P57" i="2"/>
  <c r="E57" i="2"/>
  <c r="P56" i="2"/>
  <c r="P55" i="2"/>
  <c r="P54" i="2"/>
  <c r="P53" i="2"/>
  <c r="P52" i="2"/>
  <c r="P51" i="2"/>
  <c r="O51" i="2"/>
  <c r="E51" i="2"/>
  <c r="P50" i="2"/>
  <c r="P49" i="2"/>
  <c r="P48" i="2"/>
  <c r="P47" i="2"/>
  <c r="P46" i="2"/>
  <c r="P45" i="2"/>
  <c r="P44" i="2"/>
  <c r="P43" i="2"/>
  <c r="P42" i="2"/>
  <c r="P41" i="2"/>
  <c r="E41" i="2"/>
  <c r="P40" i="2"/>
  <c r="E40" i="2"/>
  <c r="P39" i="2"/>
  <c r="P38" i="2"/>
  <c r="E38" i="2"/>
  <c r="P37" i="2"/>
  <c r="P36" i="2"/>
  <c r="P35" i="2"/>
  <c r="E35" i="2"/>
  <c r="P34" i="2"/>
  <c r="E34" i="2"/>
  <c r="P33" i="2"/>
  <c r="E33" i="2"/>
  <c r="P32" i="2"/>
  <c r="P31" i="2"/>
  <c r="P30" i="2"/>
  <c r="P29" i="2"/>
  <c r="E29" i="2"/>
  <c r="P28" i="2"/>
  <c r="P27" i="2"/>
  <c r="P26" i="2"/>
  <c r="P25" i="2"/>
  <c r="P24" i="2"/>
  <c r="P23" i="2"/>
  <c r="E23" i="2"/>
  <c r="P22" i="2"/>
  <c r="P21" i="2"/>
  <c r="P20" i="2"/>
  <c r="P19" i="2"/>
  <c r="P18" i="2"/>
  <c r="P17" i="2"/>
  <c r="P16" i="2"/>
  <c r="P15" i="2"/>
  <c r="E15" i="2"/>
  <c r="P14" i="2"/>
  <c r="P13" i="2"/>
  <c r="P12" i="2"/>
  <c r="P11" i="2"/>
  <c r="P10" i="2"/>
  <c r="E10" i="2"/>
  <c r="E8" i="2"/>
  <c r="B67" i="29"/>
  <c r="B69" i="29" s="1"/>
  <c r="E69" i="29" s="1"/>
  <c r="P308" i="2" l="1"/>
  <c r="N308" i="2" s="1"/>
  <c r="B60" i="29"/>
  <c r="B61"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SOLECITO</author>
  </authors>
  <commentList>
    <comment ref="D47" authorId="0" shapeId="0" xr:uid="{00000000-0006-0000-0100-000001000000}">
      <text>
        <r>
          <rPr>
            <b/>
            <sz val="9"/>
            <color indexed="81"/>
            <rFont val="Tahoma"/>
            <family val="2"/>
          </rPr>
          <t>SOLECITO:</t>
        </r>
        <r>
          <rPr>
            <sz val="9"/>
            <color indexed="81"/>
            <rFont val="Tahoma"/>
            <family val="2"/>
          </rPr>
          <t xml:space="preserve">
es el mismo objeto en ejecución de Carolina Higuera
Nuevo: Prestar servicios profesionales para la consolidación de la etapa de formulación y para el apoyo en el seguimiento en la implementación del proyecto de compras institucionales</t>
        </r>
      </text>
    </comment>
  </commentList>
</comments>
</file>

<file path=xl/sharedStrings.xml><?xml version="1.0" encoding="utf-8"?>
<sst xmlns="http://schemas.openxmlformats.org/spreadsheetml/2006/main" count="4472" uniqueCount="722">
  <si>
    <t>Gobernanza y buen gobierno</t>
  </si>
  <si>
    <t>Competitividad y proyección internacional</t>
  </si>
  <si>
    <t>No. PROCESO</t>
  </si>
  <si>
    <t>Seguridad alimentaria y desarrollo rural</t>
  </si>
  <si>
    <t>Infraestructuras de transporte, logística y servicios públicos</t>
  </si>
  <si>
    <t>Fortalecimiento institucional</t>
  </si>
  <si>
    <t>Recursos propios</t>
  </si>
  <si>
    <t>Honorarios</t>
  </si>
  <si>
    <t>Materiales y Suministros</t>
  </si>
  <si>
    <t>Gastos de Computador</t>
  </si>
  <si>
    <t>Comunicación y Transporte</t>
  </si>
  <si>
    <t>Servicios Públicos</t>
  </si>
  <si>
    <t>Seguros</t>
  </si>
  <si>
    <t>Impresos y Publicaciones</t>
  </si>
  <si>
    <t>Mantenimiento</t>
  </si>
  <si>
    <t>Arrendamientos</t>
  </si>
  <si>
    <t>Bienestar Social</t>
  </si>
  <si>
    <t>Salud Ocupacional</t>
  </si>
  <si>
    <t>Promoción Institucional</t>
  </si>
  <si>
    <t>Sustentabilidad ecosistémica y manejo de riesgos</t>
  </si>
  <si>
    <t>RUBROS PRESUPUESTALES</t>
  </si>
  <si>
    <t>Desarrollar un programa regional de guardaparamos con enfoque social</t>
  </si>
  <si>
    <t>Fortalecer la red logística regional</t>
  </si>
  <si>
    <t>Fortalecer la conectividad multimodal regional</t>
  </si>
  <si>
    <t>Mejorar la capacidad logística de la Región Central</t>
  </si>
  <si>
    <t>Articular la planeación del ordenamiento y desarrollo territorial de la Región Central</t>
  </si>
  <si>
    <t>Garantizar la infraestuctura física y lógica para el funcionamiento y operación de la entidad en el marco de los procesos misionales y de apoyo de la entidad</t>
  </si>
  <si>
    <t xml:space="preserve">Fortalecer la capacidad de estructuración y ejecución de proyectos de  la Rape Region Central </t>
  </si>
  <si>
    <t>Fortalecer el Sistema de Gestión de Calidad</t>
  </si>
  <si>
    <t>Posicionar a la Región Central como modelo de desarrollo regional en Colombia</t>
  </si>
  <si>
    <t>OBJETIVOS ESPECÍFICOS</t>
  </si>
  <si>
    <t>Implementar un  modelo de compensación por servicios ambientales, asociado al cuidado del recurso hídrico</t>
  </si>
  <si>
    <t>Formular e implementar una acción de cambio climático asociada a la gestión integral del recurso hídrico y resiliencia regional</t>
  </si>
  <si>
    <t>Articular y gestionar  los planes y proyectos de infraestructura de transporte y logística que sirvan de plataforma para la articulación de los territorios que integran la RAPE</t>
  </si>
  <si>
    <t>Articular los territorios de la Región Central a través del desarrollo de productos turisticos asociados al turismo de naturaleza</t>
  </si>
  <si>
    <t xml:space="preserve">Diseñar una estrategia de especialización inteligente para la región articulada a la definida para Bogotá-Cundinamarca e implementar uno de los proyectos priorizados en la agenda regional </t>
  </si>
  <si>
    <t>Funcionamiento</t>
  </si>
  <si>
    <t>TIPO DE GASTO</t>
  </si>
  <si>
    <t>ÁREA RESPONSABLE</t>
  </si>
  <si>
    <t>FUNCIONAMIENTO/INVERSIÓN</t>
  </si>
  <si>
    <t>ÁREAS</t>
  </si>
  <si>
    <t>Dirección Corporativa</t>
  </si>
  <si>
    <t>Dirección Técnica</t>
  </si>
  <si>
    <t>Oficina Asesora de Planeación</t>
  </si>
  <si>
    <t>Dirección Ejecutiva - Comunicaciones</t>
  </si>
  <si>
    <t>Dirección Ejecutiva - Jurídica</t>
  </si>
  <si>
    <t>Dirección Ejecutiva</t>
  </si>
  <si>
    <t xml:space="preserve">Aunar esfuerzos técnicos, administrativos y finacieros para la implementación del modelo de PSA o de incentivos a la conservación en la Región Central. </t>
  </si>
  <si>
    <t>Diseñar e implementar en la Región Central una estrategia de cambio cultural orientada al cuidado del agua y asociada a la adaptación y mitigación del cambio climático</t>
  </si>
  <si>
    <t>Implementar el proyecto de compras institucionales de la Región Central</t>
  </si>
  <si>
    <t>Identificar alternativas productivas y de generación de ingresos de poblaciones campesinas orientadas a la reconversión productiva.</t>
  </si>
  <si>
    <t>Contratar la ejecución de acciones de mejoramiento logístico en las cadenas de abastecimiento de la Región Central</t>
  </si>
  <si>
    <t>Prestar servicios profesionales para el acompañamiento en el desarrollo de los temas propios del sector turístico en la Región Central</t>
  </si>
  <si>
    <t>Aunar esfuerzos técnicos, administrativos y financieros para la implementacion de un proyecto de la agenda de especializacion inteligente</t>
  </si>
  <si>
    <t>Prestar servicios profesionales para la gestión, acompañamiento y seguimiento al desarrollo de los temas de articulación de la planeación y el ordenamiento territorial de la Región Central</t>
  </si>
  <si>
    <t>Prestar servicios profesionales para la actualización y mantenimiento del SIG regional que garantice la elaboración de productos cartográficos</t>
  </si>
  <si>
    <t>Promover alternativas productivas y de generación de ingresos de poblaciones vulnerables mediante el desarrollo de cultivos urbanos y periurbanos</t>
  </si>
  <si>
    <t>Orientar los procesos de planeación  ambiental requeridos para el desarrollo sostenible  y  para el fortalecimiento del modelo de ocupación territorial de la RAPE, de acuerdo al procedimiento establecido</t>
  </si>
  <si>
    <t>Implementar el proyecto de "Cambio Verde" en la Región Central, como medida de mitigación del cambio climático y de mejoramiento del acceso a los alimentos por parte de la población vulnerable</t>
  </si>
  <si>
    <t xml:space="preserve">Fortalecimiento Institucional </t>
  </si>
  <si>
    <t>Contratación directa</t>
  </si>
  <si>
    <t>Prestar servicios profesionales de apoyo a la gestión jurídica en el marco  precontractual y contractual tendientes a contratar la ejecución de los proyectos aprobados por el Sistema General de Regalías.</t>
  </si>
  <si>
    <t>Prestar servicios profesionales de apoyo a la gestión técnica en la elaboración de estudios previos y de mercado necesarios para contratar la ejecución de los proyectos aprobados por el Sistema General de Regalías y apoyar el seguimiento técnico  según lo dispuesto por el sistema GESPROY</t>
  </si>
  <si>
    <t>Prestar servicios profesionales de apoyo para el seguimiento técnico, admninistrativo y financiero a la ejecución de los proyectos  a cargo de la Región Central</t>
  </si>
  <si>
    <t xml:space="preserve">Prestar servicios profesionales para apoyar la ejecución,  estructuración, gestión y aprobación de proyectos de inversión en ciencia, tecnología e innovación conforme a las fuentes de financiación vigentes </t>
  </si>
  <si>
    <t>Prestar servicios profesionales para  la gestión y estructuración técnica de iniciativas de inversión del  Banco de Programas y Proyectos de la Región Central</t>
  </si>
  <si>
    <t>Prestar servicios profesionales para  la formulación de proyectos de inversión derivados de los ejes estrategicos de la Región Central</t>
  </si>
  <si>
    <t>Prestar servicios técnicos para apoyar los canales de atención a los ususarios de la entidad</t>
  </si>
  <si>
    <t>Contratar el alquiler e instalación de equipos de cómputo que incluya mantenimiento preventivo, correctivo y soporte técnico, de conformidad con las especificaciones técnicas establecidas por la entidad</t>
  </si>
  <si>
    <t>Adquisición de licenciamiento de project 2016 para soportar los procesos de la entidad</t>
  </si>
  <si>
    <t>Mínima cuantía</t>
  </si>
  <si>
    <t>Adquisición de storage para el almacenamiento y seguridad de la información que produce la Región Central - RAPE</t>
  </si>
  <si>
    <t>Gastos de desplazamiento</t>
  </si>
  <si>
    <t>N/A</t>
  </si>
  <si>
    <t>Realizar el ejercicio de planeación de la gestión contractual requerida para la vigencia</t>
  </si>
  <si>
    <t>Prestar servicios profesionales en en el desarrollo de las actividades requeridas en el marco del proceso de gestión contractual</t>
  </si>
  <si>
    <t>Mantener  la disponibilidad e integridad de la infraestructura tecnologica de la entidad e implementar las soluciones tecnológicas requeridas</t>
  </si>
  <si>
    <t>Prestar servicios técnicos para en el soporte requerido para el desarrollo del proceso tecnológico y de las comunicaciones</t>
  </si>
  <si>
    <t>Contar con la infraestructura física requerida por la entidad y realizar el control y seguimiento a los bienes y servicios de la entidad</t>
  </si>
  <si>
    <t>Suministro de elementos de papelería y útiles de oficina requeridos para el desarrollo de los proyectos y funcionamiento Región Central</t>
  </si>
  <si>
    <t>Renovación de herramientas colaborativas del licenciamiento office 365</t>
  </si>
  <si>
    <t>Renovación del licenciamiento de la página web de la entidad</t>
  </si>
  <si>
    <t>Prestar el servicio de actualizacion de firmas y mantenimiento del sistema de información administrativo y financiea TNS</t>
  </si>
  <si>
    <t>Prestar el servicio de transporte público terrestre automotor especial para desarrollar las actividades requeridas para el funcionamiento de la Región Administrativa y de Planeación Especial - RAPE - Región Central</t>
  </si>
  <si>
    <t>Satisfacer las necesidades de información de los usuarios, dando cumplimiento a los términos de ley</t>
  </si>
  <si>
    <t>Prestar los servicios postales y de correo a nivel local, nacional e internacional, para recoger y  distribuir la correspondencia generada por la Región Administrativa y de Planeación Especial - RAPE - Región Central</t>
  </si>
  <si>
    <t>Prestación de servicios de canal de internet y troncal SIP para el funcionamiento y comunicación de la Región Administrativa y de Planeación Especial - RAPE - Región Central</t>
  </si>
  <si>
    <t>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t>
  </si>
  <si>
    <t>Suscripción al servicio de herramientas prácticas para la actualización de información en materia jurídica</t>
  </si>
  <si>
    <t>Prestar el servicio de aseo y cafetería, incluyendo el suministro de los elementos necesarios para el mismo, en las diferentes áreas de la Región Administrativa y de Planeación Especial  RAPE - Región Central</t>
  </si>
  <si>
    <t>EL ARRENDADOR entrega al ARRENDATARIO, a título de arrendamiento, y éste recibe de aquel al mismo título, un inmueble con destino al funcionamiento de la sede principal de la Región Administrativa y de Planeación Especial - RAPE - Región Central, un inmueble ubicado en la Avenida calle 26 No. 59 - 41 oficina 702  Edificio Cámara Colombiana de la Infraestructura en la ciudad de Bogotá D.C.</t>
  </si>
  <si>
    <t>Contribuir al mejoramiento de la Calidad de Vida de los servidores de la RAPE fomentando una armonía personal, laboral y familiar entre los funcionarios de la entidad</t>
  </si>
  <si>
    <t>Prestación de servicios y de apoyo necesarios para desarrollar el Plan Anual de Bienestar e Incentivos de la entidad para la vigencia 2017, el cual busca mejorar la calidad de vida de los funcionarios y sus familias</t>
  </si>
  <si>
    <t>Adquisición de elementos de seguridad y salud en el trabajo, de conformidad con las especificaciones técnicas requeridas por la entidad</t>
  </si>
  <si>
    <t>Dar cumplimiento a la normatividad en cuanto a ingreso, permanencia y retiro de los servidores</t>
  </si>
  <si>
    <t>Prestar el servicio para la realización de los exámenes médicos ocupacionales requeridos por la entidad, en desarrollo del Programa de Seguridad y Salud en el Trabajo</t>
  </si>
  <si>
    <t>Prestar servicios de apoyo a la gestión para adelantar la  formación requerida por los integrantes de la Brigada de Emergencias de la RAPE - Región Central</t>
  </si>
  <si>
    <t>Adición y prórroga al contrato 024 de 2016 cuyo objeto es: "Prestar el servicio de transporte público terrestre automotor especial para desarrollar las actividades de la Región Administrativa y de Planeación Especial RAPE - Región Central "</t>
  </si>
  <si>
    <t>Prestar servicios profesionales para la estructuración y puesta en marcha de una estrategia para la implementación del proyecto de compras institucionales</t>
  </si>
  <si>
    <t>Prestar servicios profesionales en la definición de perfiles, tipificación y construcción de propuestas de proyectos relacionados con la adaptación al cambio climático, bajo el diseño de instrumentos de información, planificación, gestión ambiental y de riesgo</t>
  </si>
  <si>
    <t>Prestar servicios profesionales para la identificación y estructuración de proyectos ambientales en la Región</t>
  </si>
  <si>
    <t>Prestar servicios profesionales para la coordinación y seguimiento a las estrategias que se deben implementar en el proceso de abordaje e inserción comunitaria en las áreas de páramo de la Región Central</t>
  </si>
  <si>
    <t>Prestar servicios profesionales en el proceso de estructuración financiera y operativa de proyectos de conectividad multimodal regional del Plan Maestro de Transporte Intermodal de la Región Central</t>
  </si>
  <si>
    <t>Prestar servicios profesionales para la gestión en comunicaciones, en materia de interacción con representantes de los medios de comunicación y apoyo mediático en eventos organizados por la Región Central.</t>
  </si>
  <si>
    <t xml:space="preserve">Prestar servicios profesionales para desarrollar estrategias que promuevan la mejora de las prácticas de gobierno abierto a través de ejercicios de planificación, ejecución y seguimiento a la gestión pública de los socios </t>
  </si>
  <si>
    <t>Prestar servicios profesionales para el apoyo de los procesos de planificación y ordenamiento territorial</t>
  </si>
  <si>
    <t>Prestar servicios profesionales para realizar el seguimiento a los instrumentos de planeación definidos al interior de la entidad, en el marco del Sistema Integrado de Gestión</t>
  </si>
  <si>
    <t>Prestar servicios profesionales para el diseño y desarrollo de sitios web responsive con administrados de contenidos y bases de datos</t>
  </si>
  <si>
    <t>Licitación pública</t>
  </si>
  <si>
    <t>Acuerdo marco de precios</t>
  </si>
  <si>
    <t>Concurso de méritos</t>
  </si>
  <si>
    <t>Mínima cuantía-Tienda virtual del Estado Colombiano</t>
  </si>
  <si>
    <t>Modificación, adición o prórroga</t>
  </si>
  <si>
    <t>Selección abreviada de menor cuantía</t>
  </si>
  <si>
    <t>MODALIDADES DE SELECCIÓN</t>
  </si>
  <si>
    <t>MODALIDAD DE SELECCIÓN</t>
  </si>
  <si>
    <t>Prestar servicios profesionales para la elaboración y puesta en marcha de una estrategia de marketing digital a la Región Central, que abarque plataformas virtuales como página web y redes sociales</t>
  </si>
  <si>
    <t>Prestar servicios profesionales para la ejecución y seguimiento a las actividades desarrolladas en el marco de los procesos corporativos de la entidad</t>
  </si>
  <si>
    <t>META PLAN DE ACCIÓN 2017</t>
  </si>
  <si>
    <t>OBJETO CONTRACTUAL</t>
  </si>
  <si>
    <t>VALOR ESTIMADO</t>
  </si>
  <si>
    <t>RUBRO</t>
  </si>
  <si>
    <t>FUENTE</t>
  </si>
  <si>
    <t>PLAZO DE EJECUCIÓN</t>
  </si>
  <si>
    <t>Prestar servicios profesionales para la construcción de la línea base y estado del arte de los instrumentos de planificación y de ordemaniento y manejo del recurso hídrico de la Región</t>
  </si>
  <si>
    <t xml:space="preserve">Prestar servicos profesionales para el apoyo en la gestión documental, elaboración y cargue de información de proyectos en la Metodología General Ajustada (MGA) conforme con la normatividad vigente del Departamento Nacional de Planeación </t>
  </si>
  <si>
    <t>Prestar servicios profesionales para llevar a cabo la coordinación y seguimiento a los procesos que se desarrollen en el marco de los planes, programas y proyectos ejecutados de conformidad con las políticas de seguridad alimentaria</t>
  </si>
  <si>
    <t>FECHA ESTIMADA DE INICIO EJECUCIÓN</t>
  </si>
  <si>
    <t>OBSERVACIONES</t>
  </si>
  <si>
    <t>VALOR CONTRATADO</t>
  </si>
  <si>
    <t>DIFERENCIA</t>
  </si>
  <si>
    <t>Prestar servicios profesionales para el diseño y apoyo a los programas en reconversión productiva con el enfoque de buenas prácticas ganaderas en ecosistemas de alta montaña</t>
  </si>
  <si>
    <t>Prestar servicios profesionales para el diseño y apoyo a los programas en reconversión productiva con el enfoque de buenas prácticas ambientales y agropecuarias en ecosistemas sensibles</t>
  </si>
  <si>
    <t>PSP</t>
  </si>
  <si>
    <t>CONVENIO</t>
  </si>
  <si>
    <t>SERVICIOS</t>
  </si>
  <si>
    <t>BIENES</t>
  </si>
  <si>
    <t>ARRENDAMIENTO</t>
  </si>
  <si>
    <t>Adición No. 3 al contrato 024 de 2016 cuyo objeto es: "Prestar el servicio de transporte público terrestre automotor especial para desarrollar las actividades de la Región Administrativa y de Planeación Especial RAPE - Región Central "</t>
  </si>
  <si>
    <t>Adición y prórroga No. 1 al contrato 031 de 2016 cuyo objeto es: "Contratar el alquiler e instalación de equipos de cómputo que incluya mantenimiento preventivo, correctivo y soporte técnico de conformidad con las especificaciones técnicas"</t>
  </si>
  <si>
    <t>Contratar la intermediación de seguros y asesoría para el manejo del programa de seguros de la Región Administrativa y de Planeación Especial - RAPE Región Central</t>
  </si>
  <si>
    <t>Se modifica en la versión 3 por solicitud de la Dirección Técnica</t>
  </si>
  <si>
    <t>Aunar esfuerzos técnicos administrativos y financieros entre el Departamento de Boyacá y la Región Administrativa y de Planeación Especial - RAPE Región Central, para la ejecución del proyecto "Fortalecimiento de la institucionalidad de la Región Central a través del desarrollo e implementación de una metodología de gestión que fortalezca la capacidad gerencial en el marco del Plan de Desarrollo de la Gobernación de Boyacá"</t>
  </si>
  <si>
    <t>Prestar servicios profesionales en materia de planeación estratégica creativa y publicitaria, desarrollo e implementación de la imagen creativa de los procesos misionales y proyectos y en las actividades de promoción y posicionamiento que requiera la Región Central</t>
  </si>
  <si>
    <t>Prestar servicios profesionales para elaborar e implementar el modelo de ejecución y programación técnica, operativa y financiera del proyecto de acciones de conservación y restauración de páramos.</t>
  </si>
  <si>
    <t>Prestar servicios profesionales para adelantar la gestión interinstitucional con las entidades competetentes y consolidar la propuesta de delegación de catastro</t>
  </si>
  <si>
    <t>CONTRATADO: CATALINA RODRÍGUEZ
8 MESES X 5`5 MILLONES
Se modifica en la versión 2 por solicitud de la Dirección Técnica</t>
  </si>
  <si>
    <t>CONTRATADO: NELSON SOLER
3 MESES X 5,5 MILLONES</t>
  </si>
  <si>
    <t>CONTRATADO: MÓNICA GUEVARA
6 MESES X 5 MILLONES
Se modifica en la versión 2 por solicitud de la Dirección Técnica</t>
  </si>
  <si>
    <t>CONTRATADO: LUIS ALEXANDER FAJARDO
8 MESES X 6 MILLONES
Se modifica en la versión 2 por solicitud de la Dirección Técnica</t>
  </si>
  <si>
    <t>En ejecución</t>
  </si>
  <si>
    <t>CONTRATADO: YAMILE CONTENTO
7 MESES X 4 MILLONES. Terminación anticipada a partir del 23/02/17</t>
  </si>
  <si>
    <t>CONTRATADO: VIVIANA BELTRÁN
6 MESES X 3,6 MILLONES</t>
  </si>
  <si>
    <t>CONTRATADO: ANA JULIER FONSECA
7 MESES X 5´5 MILLONES</t>
  </si>
  <si>
    <t>CONTRATADO: ANDRÉS GÓMEZ
6 MESES X 6 MILLONES
Se modifica en la versión 3 por solicitud de la Dirección Técnica</t>
  </si>
  <si>
    <t>CONTRATADO: JUAN CAMILO BALSERO 
8 MESES X 4,4 MILLONES
Se modifica en la versión 2 por solicitud de la Oficina de Planeación</t>
  </si>
  <si>
    <t>CONTRATADO: JULIETH ALEJANDRA MUÑOZ
6 MESES X 2 MILLONES</t>
  </si>
  <si>
    <t>CONTRATADO: MARÍA TERESA BLANCO
6 MESES X 4 MILLONES
Se crea en la versión 3 por solicitud de la Dirección Técnica</t>
  </si>
  <si>
    <t>CONTRATADO: STEVEN RIOS
7 MESES X 6´5 MILLONES
Se crea en la versión 3 por solicitud de la Dirección Técnica</t>
  </si>
  <si>
    <t>CONTRATADO: OSCAR COLMENARES
6 MESES X 4´5 MILLONES</t>
  </si>
  <si>
    <t>Formular, gestionar e implementar un proyecto regional de guardapáramos y de implementación del modelo de PSA o de incentivos para la conservación del recurso hídrico en la Región Central</t>
  </si>
  <si>
    <t xml:space="preserve">Prestar servicios técnicos de apoyo a la gestión para el abordaje e inserción comunitaria para la protección del recurso hídrico de la Región Central en las áreas que le sean definidas </t>
  </si>
  <si>
    <t>Prestar servicios profesionales en lo relacionado con temas de reconversión productiva en áreas de páramo y bosque alto andino en la Región Central</t>
  </si>
  <si>
    <t>Prestar servicios profesionales en lo relacionado con temas de restauración ecológica en áreas de páramo y bosque alto andino en la Región Central</t>
  </si>
  <si>
    <t>Prestar servicios profesionales de verificación de trabajo en campo, en los temas de restauración y reconversión productiva en áreas de páramo y bosque alto andino en la Región Central</t>
  </si>
  <si>
    <t xml:space="preserve">Prestar servicios técnicos de apoyo a la gestión social, enfocada a la educación ambiental y el abordaje e inserción comunitaria en las áreas de páramo de la Región Central que le sean definidas </t>
  </si>
  <si>
    <t>Prestar servicios  profesionales para apoyar el proceso de identificación y caracterización de los actores sociales y ambientales de la Región Central en el marco del Proyecto Páramos</t>
  </si>
  <si>
    <t xml:space="preserve">Implementar el proyecto de "Mercados campesinos y Cambio Verde" en la Región Central, como medida de mitigación del cambio climático y de mejoramiento del acceso a los alimentos por parte de la población vulnerable y fortalecimiento de canales de comercialización  </t>
  </si>
  <si>
    <t>Prestar servicios profesionales para elaborar e implementar el modelo de ejecución y programación técnica, operativa y financiera del proyecto de mejoramiento de ingresos para pequeños productores</t>
  </si>
  <si>
    <t>Prestar servicios profesionales en lo relacionado con temas de asistencia técnica agropecuaria en áreas rurales de la Región Central en el marco del proyecto mejoramiento de ingresos a pequeños productores</t>
  </si>
  <si>
    <t>Desarrollar acciones para la promoción del turismo de naturaleza en la Región Central a través de expediciones</t>
  </si>
  <si>
    <t>Diseño e implementación del producto turistico asociado a turismo de naturaleza</t>
  </si>
  <si>
    <t>Aunar esfuerzos técnicos, administrativos y financieros para el fortalecimiento de las capacidades de asociación y gestión de las organizaciones de productores de la Región Central</t>
  </si>
  <si>
    <t>Prestar servicios profesionales para asesorar en los proyectos y temas relacionados con la agenda internacional de la Región Central</t>
  </si>
  <si>
    <t>Prestar servicios profesionales para la actualización y mantenimiento del SIG regional que garantice la elaboración de productos cartográficos y los proyectos del catastro multipropósito</t>
  </si>
  <si>
    <t>Prestar servicios profesionales para desarrollar acciones de enlace institucional y coordinación de agendas con el departamento de Tolima como territorio asociado de la Región central</t>
  </si>
  <si>
    <t>Prestar servicios profesionales para desarrollar acciones de enlace institucional y coordinación de agendas con el departamento del Meta como territorio asociado de la Región central</t>
  </si>
  <si>
    <t>Prestar servicios profesionales para adelantar las acciones necesarias que permitan diseñar y coordinar la estrategia de interacción requerida por la RAPE Region Central, en el marco de los acuerdos de la Habana, para la articulación entre el gobierno nacional, las entidades socias, y el sector privado interesado, enfocado al orden territorial</t>
  </si>
  <si>
    <t>Prestar servicios profesionales para apoyar la coordinación del proceso de identificación,  participación e inserción en las diferentes instancias de participación activas de la Región Central</t>
  </si>
  <si>
    <t>Contratar por el Sistema de Precios Unitarios y cantidad de obra realmente ejecutada, las obras de adecuación, remodelación y amueblamiento de la oficina 702 del edificio Cámara Colombiana de la Infraestructura en la ciudad de Bogotá D.C., incluyendo el suministro redes de voz y datos, donde funciona la sede de la Región Administrativa y de Planeación Especial - RAPE  Región Central.</t>
  </si>
  <si>
    <t>Prestar servicios profesionales en el proceso de planificación, seguimiento y monitoreo del presupuesto del proyecto  de páramos y de los proyectos asociados a éste y apoyo técnico de confromidad con lo dispuesto por el sistema GESPROY del Sistema General de Regalías</t>
  </si>
  <si>
    <t>Prestar servicios para la identificación de familias beneficiarias, en el marco del proyecto de mejoramiento de ingresos a pequeños productores</t>
  </si>
  <si>
    <t>Prestar servicios profesionales para desarrollar la gestión interinstitucional requerida para la formulación de proyectos de conectividad multimodal y logística en el territorio de la Región Central</t>
  </si>
  <si>
    <t>Desarrollar la estructuración financiera y operativa de proyectos de la Región Central relacionados con el eje de Infraestructuras de transporte, logística y servicios públicos</t>
  </si>
  <si>
    <t>Prestar servicios profesionales para desarrollar acciones de promoción del turismo en la Región Central, a través de medios digitales</t>
  </si>
  <si>
    <t>Prestar servicios profesionales para la identificación, abordaje e inserción de las instancias de participación en el departamento de Cundinamarca, con relación a la Región Central</t>
  </si>
  <si>
    <t>Prestar servicios profesionales para la identificación, abordaje e inserción de las instancias de participación en Bogotá D.C., con relación a la Región Central</t>
  </si>
  <si>
    <t>Prestar servicios profesionales para la identificación, abordaje e inserción de las instancias de participación en el departamento de Meta, con relación a la Región Central</t>
  </si>
  <si>
    <t>Prestar servicios profesionales para la identificación, abordaje e inserción de las instancias de participación en el departamento de Tolima, con relación a la Región Central</t>
  </si>
  <si>
    <t>Prestar servicios profesionales para el seguimiento a las acciones desarrolladas en el marco de los procesos de planificación y ordenamiento territorial de la Región Central</t>
  </si>
  <si>
    <t xml:space="preserve">Prestar servicios profesionales de asesoría para la revisión,  validación y actualización de la propuesta jurídica, organizativa y reglamentaria de creación del Consejo de Participación de la Región Central </t>
  </si>
  <si>
    <t>Prestar servicios profesionales para apoyar la supervisión y seguimiento administrativo, técnico y financiero de los planes y proyectos desarrollados en el marco de los ejes estratégicos de la entidad</t>
  </si>
  <si>
    <t>Prestar servicios profesionales para  el seguimiento e implementación de proyectos de inversión derivados de los ejes estrategicos de la Región Central</t>
  </si>
  <si>
    <t>Desarrollar las acciones estrategicas para el fortalecimiento institucional a través de la cooperación y el intercambio de experiencias significativas para la Región Central</t>
  </si>
  <si>
    <t>CONTRATADO: PLATINO VIP 17/01/2017</t>
  </si>
  <si>
    <t>Se crea en la versión 2 por solicitud de la Dirección Corporativa
CONTRATADO PLATINO VIP 15/02/2017</t>
  </si>
  <si>
    <t>Prestar servicios profesionales para adelantar la gestión y el seguimiento de los proyectos, ordenanzas y acuerdos y demás actos administrativos relacionados con la misión de la Región Central</t>
  </si>
  <si>
    <t>Prestar servicios profesionales para acompañar el diseño de la estrategia de articulación de los actores gremiales de los territoriales de la Región Central y en general, los temas asociados a la competitividad</t>
  </si>
  <si>
    <t>Prestar servicios profesionales para desarrollar acciones de enlace institucional y coordinación de agendas con el departamento de Cundinamarca como territorio asociado de la Región central</t>
  </si>
  <si>
    <t>Prestar servicios técnicos y operativos de apoyo  a la gestión para el desarrollo de los proyectos de la Región Central</t>
  </si>
  <si>
    <t>Se modifica en la versión 4 por solicitud de la Dirección Técnica</t>
  </si>
  <si>
    <t>CONTRATADO: JULIO PULIDO
6 MESES X 8 MILLONES
Se modifica en las versiones 2 y 4 por solicitud de la Dirección Técnica</t>
  </si>
  <si>
    <t>En ejecución
Se modifica valor en la versión 4 por solicitud de la Dirección Técnica</t>
  </si>
  <si>
    <t>Se crea en la versión 4 por solicitud de la Dirección Técnica</t>
  </si>
  <si>
    <t>Se crea en la versión 4 por solicitud de la Dirección Técnica
CONTRATADO
DAVID RIVERA 
6 MESES X 7 MILLONES</t>
  </si>
  <si>
    <t>Se crea en la versión 4 por solicitud de la Dirección Técnica
CONTRATADO: EDGAR OVIEDO VARGAS
9 MESES X 9 MILLONES</t>
  </si>
  <si>
    <t>Se crea en la versión 4 por solicitud de la Dirección Técnica
LUIS ALEJANDRO GUTIÉRREZ
6 MESES X 5¨5 MILLONES</t>
  </si>
  <si>
    <t>CONTRATADO: PAOLA CÁRDENAS 10 MESES X 9 MILLONES
Se modifica en las versiones 3 y 4 por solicitud de la Dirección Técnica</t>
  </si>
  <si>
    <t>CONTRATADO: JULIÁN MORENO
5 MESES X 5´1 MILLONES
Se modifica en la versión 4 por solicitud de la Dirección Técnica</t>
  </si>
  <si>
    <t>CONTRATADO: JUAN JOSÉ LAMAR
6 MESES X 6´5 MILLONES
Se modifica en la versión 4 por solicitud de la Dirección Técnica</t>
  </si>
  <si>
    <t>JOSE FRANCISCO SEQUEDA
6 MESES X 4^2 MILLONES
Se modifica en la versión 4 por solicitud de la Dirección Técnica</t>
  </si>
  <si>
    <t>En ejecución
Se modifica en la versión 4 por solicitud de la Dirección Técnica</t>
  </si>
  <si>
    <t>CONTRATADO: JAIME FLÓREZ
6 MESES X 6 ´8 MILLONES
Se modifica en la versión 4 por solicitud de la Dirección Técnica</t>
  </si>
  <si>
    <t>CONTRATADO: CARLOS FAJARDO
6 MESES X 8 MILLONES
Se modifica en las versiones 3 y 4 por solicitud de la Dirección Técnica</t>
  </si>
  <si>
    <t>CONTRATADO: NANCY CAROLINA HERNÁNDEZ
8 MESES X 6 MILLONES
Se modifica en la versión 4 por solicitud de la Dirección Técnica</t>
  </si>
  <si>
    <t>CONTRATADO: PAOLA STERLING LONDOÑO
6 MESES X 7 MILLONES
Se modifica en las versiones 2 y 4 por solicitud de la Oficina de Planeación y la Dirección Técnica, respectivamente</t>
  </si>
  <si>
    <t>CONTRATADO: CARLOS FERNANDO LEÓN 8 MESES X 4`4 MILLONES
Se modifica en la versión 4 por solicitud de la Dirección Técnica</t>
  </si>
  <si>
    <t>CONTRATADO: FABIÁN MOTTA
5 MESES X 8`2 MILLONES
Se crea en la versión 3 por solicitud de la Asesora de Comunicaciones
Se modifica en la versión 4 por solicitud de la Dirección Técnica</t>
  </si>
  <si>
    <t>CONTRATADO FONNEGRA INMOBILIARIA
CONTRATO No. XXX DE 2017
Se modifica en la versión 4 por solicitud de la Dirección Corporativa</t>
  </si>
  <si>
    <t>Prestar servicios de apoyo a la gestión para la organización, producción y puesta en marcha de los eventos  que debe desarrollar la entidad, en el marco de los proyectos de promoción de turismo</t>
  </si>
  <si>
    <t>CONTRATADO: CAROLINA HIGUERA
Se modifica en la versión 4 por solicitud de la Dirección Técnica</t>
  </si>
  <si>
    <t>CONTRATADO: JUAN GUILLERMO HERNÁNDEZ LOMBO
Se crea en la versión 4 por solicitud de la Dirección Técnica</t>
  </si>
  <si>
    <t>CONTRATADO: CLAUDIA ALEJANDRA SÁNCHEZ BERMUDEZ
Se crea en la versión 4 por solicitud de la Dirección Técnica</t>
  </si>
  <si>
    <t>CONTRATADO :UNIPAR ALQUILERES DE COMPUTADORES
Se crea en la versión 2 por solicitud de la Dirección Corporativa</t>
  </si>
  <si>
    <t>Adición No. 4 al contrato 024 de 2016 cuyo objeto es: "Prestar el servicio de transporte público terrestre automotor especial para desarrollar las actividades de la Región Administrativa y de Planeación Especial RAPE - Región Central "</t>
  </si>
  <si>
    <t>CONTRATADO: SOLANLLY CASTELLANOS
6 MESES X 6`5 MILLONES
Se modifica en las versiones 2 y 4 por solicitud de la Dirección Técnica</t>
  </si>
  <si>
    <t>Prestar servicios profesionales de apoyo técnico en temas de reconversión productiva y buenas prácticas agropecuarias en el marco de los proyectos que desarrolle la entidad</t>
  </si>
  <si>
    <t>Se elimina en la versión 4 por solicitud de la Dirección Técnica</t>
  </si>
  <si>
    <t>CONTRATADO JOSÉ ANTONIO PALMA BACCCA
6 MESES X 5 MILLONES
Se crea en la versión 4 por solicitud de la Dirección Técnica</t>
  </si>
  <si>
    <t>CONTRATADO: DIEGO ALONSO GUTIERREZ RANGEL
6 MESES X 5.5  MILLONES.
Se modifica en la versión 4 por solicitud de la Dirección Técnica</t>
  </si>
  <si>
    <t>Adición No. 1  Convenio Asociación No. 379 de 2016 cuyo objeto es "Aunar esfuerzos técnicos, administrativos y financieros para la comercialización directa de los productos agropecuarios de la ruralidad de Bogotá y la Región Central, a través de la estrategia de Mercados Campesinos del Plan maestro de Abastecimiento de alimentos y Seguridad Alimentaria de Bogotá - PMASAB, favoreciendo la disponibilidad y el acceso de alimentos de la canasta basica, a los ciudadanos de Bogotá"</t>
  </si>
  <si>
    <t>CONTRATADO:  SERVICIOS INTEGRALES DE ARQUITECTURA Y CONSTRUCCIÓN SERARCO S.A.S. CONTRATO 056-2017 
Se modifica en la versión 4 por solicitud de la Dirección Corporativa</t>
  </si>
  <si>
    <t>CONTRATADO: SERVITAC LTDA.  
CONTRATO 055-2017 
Se modifica en la versión 2 el valor por solicitud de la Dirección Corporativa</t>
  </si>
  <si>
    <t>CONTRATADO: ASEGURADORA SOLIDARIA DE COLOMBIA 
CONTRATO: 054-2017
Se modifica en la versión 4 por solicitud de la Dirección Corporativa</t>
  </si>
  <si>
    <t>CONTRATADO:  DAVID VALDES CRUZ
CONTRATO 053-2017
Se crea en la versión 4 por solicitud de la Dirección Técnica</t>
  </si>
  <si>
    <t>CONTRATADO:  EDWIN GUEVARA VALENCIA
CONTRATO: 052-2017
Se crea en la versión 4 por solicitud de la Dirección Técnica</t>
  </si>
  <si>
    <t>CONTRATADO: RICHARD COLORADO CUESTAS
CONTRATO 051-2017
 Se crea en la versión 4 por solicitud de la Dirección Técnica</t>
  </si>
  <si>
    <t>CONTRATADO: EMPRESA DE TELECOMUNICACIONES DE BOGOTÁ S.A.E.S.P.
CONTRATO: CONTRATO 050-2017</t>
  </si>
  <si>
    <t>CONTRATADO DIANA MARCELA MARTINEZ GIRALDO
CONTRATO 049-2017
3 MESES X 8 MILLONES 
Se crea en la versión 4 por solicitud de la Dirección Técnica</t>
  </si>
  <si>
    <t>Adquisición de carpetas para el archivo, de conformidad con las especificaciones técnicas requeridas.</t>
  </si>
  <si>
    <t>CONTRATADO: EDWIN  CASTRO
CONTRATO 058-17
 6 MESES X 4,5 MILLONES
Se crea en la versión 4 por solicitud de la Dirección Técnica</t>
  </si>
  <si>
    <t>Se crea en la versión 6 por solicitud de la Dirección Corporativa</t>
  </si>
  <si>
    <t>Adición No. 1 al  Contrato 056-2017 cuyo objeto es: "Contratar por el Sistema de Precios Unitarios y cantidad de obra realmente ejecutada, las obras de adecuación, remodelación y amueblamiento de la oficina 702 del edificio Cámara Colombiana de la Infraestructura en la ciudad de Bogotá D.C., incluyendo el suministro redes de voz y datos, donde funciona la sede de la Región Administrativa y de Planeación Especial - RAPE  Región Central."</t>
  </si>
  <si>
    <t>CONTRATADO:  SERVICIOS INTEGRALES DE ARQUITECTURA Y CONSTRUCCIÓN SERARCO S.A.S. CONTRATO 056-2017 
Se modifica en la versión 6 por solicitud de la Dirección Corporativa</t>
  </si>
  <si>
    <t>Prestación de servicios para la operación logística en la organización y ejecución de actividades requeridas por la entidad, en el marco de sus funciones misionales y administrativas</t>
  </si>
  <si>
    <t>CONTRATADO: 062-17 COMERCIALIZADORA VIMEL LTDA.
2 MILLON ES x 1 MES
Se crea en la versión 6 por solicitud de la Dirección Corporativa</t>
  </si>
  <si>
    <t>CONTRATADO: NEX COMPUTER S.A. 061-17
7 MESES
Se modifica valor en la versión 2 por solicitud de la Dirección Corporativa</t>
  </si>
  <si>
    <t>CONTRATADO: ANA MARÍA LEÓN VALENCIA 060-17
$ 8 MILLONES x 5 MESES</t>
  </si>
  <si>
    <t>Prestar servicios profesionales para  apoyar a la entidad en el desarrollo  de la  estrategia de marketing digital de la Región Central, que incluya  el manejo de redes sociales  y  la administración de comunidades virtuales</t>
  </si>
  <si>
    <t>Prestar servicios profesionales pare el apoyo técnico ambiental para los proyectos de infraestructura de la región central</t>
  </si>
  <si>
    <t xml:space="preserve">Prestar servicios técnicos de apoyo a la gestión para el abordaje e inserción comunitaria para la protección del recurso hídrico de la Región Central en las áreas que le sean asignadas. </t>
  </si>
  <si>
    <t>Prestar servicios profesionales para desarrollar acciones de enlace institucional y coordinación de agendas con el territorio asociado Bogotá D.C  y la Región Central.</t>
  </si>
  <si>
    <t xml:space="preserve">CONTRATADO: Soporte técnico y renovación - Licencia ArcGIS 
</t>
  </si>
  <si>
    <t>En ejecución
Ejecutado al 7/06/2017</t>
  </si>
  <si>
    <t>Dia</t>
  </si>
  <si>
    <t>Modificado en la versión 8 antes 17 millones ahora 50 millones</t>
  </si>
  <si>
    <t>Suscripción de herramientas colaborativas del licenciamiento office 365 (Páramos)</t>
  </si>
  <si>
    <t>Una solución tecnológica y administrativa implementada que soporte los procesos de la entidad</t>
  </si>
  <si>
    <t>Se crea en la versión 8 a solucitud de la Dirección Corporativa</t>
  </si>
  <si>
    <t>Adición y prórroga No. 1 al contrato 061 de 2017 cuyo objeto es: "Contratar el alquiler e instalación de equipos de cómputo que incluya mantenimiento preventivo, correctivo y soporte técnico de conformidad con las especificaciones técnicas"</t>
  </si>
  <si>
    <t>Implementar una estrategia que permita la prestación del servicio al ciudadano de acuerdo con los lineamientos de gobierno en línea</t>
  </si>
  <si>
    <t>100% de apoyo logístico a los procesos misionales y de apoyo de la entidad</t>
  </si>
  <si>
    <t>Renovación de suscripción del software de georreferenciación con el que cuenta la entidad (Soporte y Actuialización)</t>
  </si>
  <si>
    <t>Renovación de suscripción del software de georreferenciación con el que cuenta la entidad (Licencia ArcGis Spatial Analyst for Desktop Single Licence)</t>
  </si>
  <si>
    <t>CONTRATADO: ANGELA PATRICIA MORENO
7 MESES X 7 MILLONES
Tenía 54 millones</t>
  </si>
  <si>
    <t>CONTRATADO: LUIS RAVELO
6 MESES X 3,4 MILLONES
Tenia 38 millones</t>
  </si>
  <si>
    <t>Adición y prórroga al contrato 055-17 "Prestar el servicio de transporte público terrestre automotor especial para desarrollar las actividades requeridas para el funcionamiento de la Región Administrativa y de Planeación Especial - RAPE - Región Central"</t>
  </si>
  <si>
    <t>Adición y prórroga No.1 al contrato 024 de 2017 cuyo objeto es: Prestar servicios profesionales de apoyo para el seguimiento técnico, administrativo y financiero a la ejecución de los proyectos  a cargo de la Región Central</t>
  </si>
  <si>
    <t xml:space="preserve">Adición  y Prorroga  Contrato 007 de 2017  Prestar servicios profesionales para el diseño  y desarrollo  de sitios web responsive con administardor de contenidos  y bases de datos.  </t>
  </si>
  <si>
    <t xml:space="preserve">3 acciones de cambio de imagen instituciona </t>
  </si>
  <si>
    <t>3 acciones de cambio de imagen instituciona</t>
  </si>
  <si>
    <t>1 Estrategia ejecutada de comunicación que combien acciones de ATL - BTL y Freepress</t>
  </si>
  <si>
    <t>100% de proyectos de inversión para la vigencia 2017 estructurados derivados del PER</t>
  </si>
  <si>
    <t>Se elimina en la versión 8 por solicitud de la Oficina de Planeación</t>
  </si>
  <si>
    <t xml:space="preserve">Adición y prórroga No.1 al contrato 020 de 2017 cuyo objeto es: Prestar servicios profesionales para el apoyo en la gestión documental, elaboración y cargue de información de proyectos en la Metodología General Ajustada (MGA) conforme con la normatividad vigente del Departamento Nacional de Planeación </t>
  </si>
  <si>
    <t xml:space="preserve">3 Acciones orientadas a la certificación del Sistema Integrado de Gestión de Calidad </t>
  </si>
  <si>
    <t>Prestar servicios profesionales para desarrollar las habilidades para ejecutar auditorias internas a un sistema de gestión de calidad para el sector público de acuerdo a los requerimientos de las normas NTC-GP 1000:2009, ISO 9001:2015 e ISO 19011:2011 y realizar la Preauditoria Externa a la RAPE Región Central en el Sistema de Gestión de Calidad con las normas vigentes</t>
  </si>
  <si>
    <t>Prestar servicios profesionales para  la gestión de nuevas fuentes de financiación de inversión del  Banco de Programas y Proyectos de la Región Central</t>
  </si>
  <si>
    <t>Prestar servicios profesionales para  apoyar los análisis y proyecciones financieras y administrativas de los proyectos de estructuración técnica del  Banco de Programas y Proyectos de la Región Central</t>
  </si>
  <si>
    <t>Prestar servicios profesionales para  apoyar los análisis y estudios requeridos  para la estructuración técnica de proyectos de inversión del  Banco de Programas y Proyectos de la Región Central con enfoque ambiental</t>
  </si>
  <si>
    <t>Prestar servicios profesionales para  apoyar la identificación y  análisis del desarrollo regional en la estructuración técnica de proyectos de inversión del  Banco de Programas y Proyectos de la Región Central que articule los territorios de las entidades asociadas</t>
  </si>
  <si>
    <t>Prestar servicio profesionales de sensibilización y/o capacitación que contribuyan con la fundamentación del Sistema de Gestión de Calidad de acuerdo a la normatividad vigente - NTC GP 1000 - ISO 9001 teniendo en cuenta su relación con el Modelo Estándar de Control Interno MECI 1000:2014.</t>
  </si>
  <si>
    <t>Prestar servicios de apoyo al seguimiento del Proceso de Direccionamiento Estratégico</t>
  </si>
  <si>
    <t xml:space="preserve">Prestar servicios profesionales de apoyo a la formulación, normalización y el seguimiento de los Procesos Misionales de la RAPE Región Central </t>
  </si>
  <si>
    <t>1 Sistema de Información Geográfica actualizado</t>
  </si>
  <si>
    <t>Recursos Propios</t>
  </si>
  <si>
    <t>1 Proyecto Páramos en ejecución</t>
  </si>
  <si>
    <t>1 acción de cambio climático formulada, cofinanciada y en implementación</t>
  </si>
  <si>
    <t>1  Proyecto regional de voluntariado de guardapáramos estructurado</t>
  </si>
  <si>
    <t>1  modelo en implementación para 3 municipios</t>
  </si>
  <si>
    <t>Prestar servicios profesionales y de apoyo a la gestión en la caracterización, control y seguimiento a los predios donde se implementará el modelo de PSA o de incentivos a la conservación en la Región Central.</t>
  </si>
  <si>
    <t>Convenio Interadministrativo</t>
  </si>
  <si>
    <t>Prestar servicios profesionales para apoyo a la gestión del Eje de Sustentabilidad Ecosistémica y Manejo de Riesgos y cambio climático</t>
  </si>
  <si>
    <t>Garantizar la participación de la Región Administrativa y de Planeación Especial RAPE Región Central en el “Congreso Internacional de Páramos y Ecosistemas de Montaña: “Hacia una visión regional de las montañas andinas” y reunión regional de las partes “Agenda Estratégica de Adaptación al Cambio Climático en los Andes”, como estrategia para la gestión del conocimiento y la innovación Ambiental</t>
  </si>
  <si>
    <t>1 mes</t>
  </si>
  <si>
    <t>Consultoría</t>
  </si>
  <si>
    <t>Adición No. 1 al contrato No. 30 de 2017 cuyo objeto es "Prestar servicios profesionales de verificación de trabajo en campo, en los temas de restauración y reconversión productiva en áreas de páramo y bosque alto andino en la Región Central"</t>
  </si>
  <si>
    <t>1 documento con la identificación de los elementos para la conectividad de la estructura ecológica regional</t>
  </si>
  <si>
    <t>Prestar servicios profesionales para la identificación de los elementos para la conectividad de la estructura ecológica regional de soporte</t>
  </si>
  <si>
    <t>Convenio</t>
  </si>
  <si>
    <t>10 organizaciones campesinas vinculadas al Sistema de Compras Institucionales</t>
  </si>
  <si>
    <t>Prestar servicios tecnicos y operativos de apoyo a la gestión para el desarrollo de los proyectos de la Region Central</t>
  </si>
  <si>
    <t>3 Municipios con acción de cambio verde</t>
  </si>
  <si>
    <t>900 Familias identificadas para intervención</t>
  </si>
  <si>
    <t>2 Mercados campesinos realizados en la Región Central</t>
  </si>
  <si>
    <t>CONTRATADO: ADICIÓN APAVE
Se crea en la versión 5 por solicitud de la Dirección Técnica</t>
  </si>
  <si>
    <t>Prestar servicios profesionales para la implementación del proyecto de intercambio de material potencialmente reciclable por alimentos</t>
  </si>
  <si>
    <t>Prestar servicios técnicos  de apoyo en la implementación del proyecto de intercambio de material potencialmente reciclable por productos agrícolas, en el territorio de la Región Central asignado</t>
  </si>
  <si>
    <t>Servicios</t>
  </si>
  <si>
    <t>Realizar la identificación y localización de familias beneficiaras del proyecto de mejoramiento de ingresos de los pequeños productores rurales de la Región Central</t>
  </si>
  <si>
    <t>1 acciones logística concertada y cofinanciadas, para el mejoramiento de la red de distribución y cadenas de abastecimiento en horarios de cargue y descargue nocturno</t>
  </si>
  <si>
    <t>Aunar esfuerzos técnicos, administrativos y financieros que permitan propiciar iniciativas de facilitación logística urbano – regional para mejorar la competitividad de las empresas, a través de la articulación entre el sector público, privado y la academia</t>
  </si>
  <si>
    <t>Se modifica en la versión 4 por solicitud de la Dirección Técnica
Se modifica en la versión 8 por solicitud de la Dirección Técnica</t>
  </si>
  <si>
    <t>2 Proyectos del PMTIRC priorizados para formulación de fase II</t>
  </si>
  <si>
    <t>Prestar servicios profesionales para la planeación, ejecución y seguimiento de los proyectos relacionados con fortalecer la conectividad  intermodal y logística de la Región Central</t>
  </si>
  <si>
    <t>Se elimina en la versión 8 por solicitud de la Dirección Técnica</t>
  </si>
  <si>
    <t>Se modifica en la versión 4 por solicitud de la Dirección Técnica
Se elimina en la versión 8 a solicitud de la Dirección Técnica</t>
  </si>
  <si>
    <t>2 Productos Turísticos Regionales en implementación</t>
  </si>
  <si>
    <t>Producción e instalación de la señalización para las rutas de biciturismo de acuerdo al plan diseñado por la Región Central</t>
  </si>
  <si>
    <t>Licitación Pública</t>
  </si>
  <si>
    <t>Selección Abreviada</t>
  </si>
  <si>
    <t>Planeación y producción de un evento de lanzamiento de las rutas de biciturismo de la Región Central</t>
  </si>
  <si>
    <t>Prestar servicios profesionales para apoyar el Eje Competitividad y Proyección Internacional en lo relacionado a los productos turístico de la Ruta del Dorado y BiciRegión de la Región Central</t>
  </si>
  <si>
    <t>Se crea en la versión 8 a solicitud de la Dirección Técnica</t>
  </si>
  <si>
    <t>1 Perfil de proyecto formulado entorno a la ruta de integración para la PAZ</t>
  </si>
  <si>
    <t>1 Acción de fortalecimiento de las Comisiones Regionales de Competitividad</t>
  </si>
  <si>
    <t>Adición No. 1 al Contrato No. 33 de 2017 "Prestar servicios profesionales para acompañar el diseño de la estrategia de articulación de los actores gremiales de los territorios de la Región Central y en general, los temas asociados a la competitividad"</t>
  </si>
  <si>
    <t>Adición No. 1 al Contrato No. 57 de 2017 "Prestar servicios de apoyo a la gestión para la organización, producción y puesta en marcha de los eventos  que debe desarrollar la entidad, en el marco de los proyectos de promoción de turismo"</t>
  </si>
  <si>
    <t>1 Propuesta de articulación de instrumentos de ordenamiento territorial</t>
  </si>
  <si>
    <t>Adición No. 1 al Contrato No. 34 de 2017 "Prestar servicios profesionales para la gestión, acompañamiento y seguimiento al desarrollo de los temas de articulación de la planeación y el ordenamiento territorial de la Región Central"</t>
  </si>
  <si>
    <t>Adición No. 1 al Contrato No. 13 de 2017 "Prestar servicios profesionales para el apoyo de los procesos de planificación y ordenamiento territorial"</t>
  </si>
  <si>
    <t>1 Instancia de participación implementada con 3 tipos de actores vinculados</t>
  </si>
  <si>
    <t>Adición No. 1 al Contrato No. 41 de 2017 cuyo objeto es "Prestar servicios profesionales para la identificación, abordaje e inserción de las instancias de participación en el Distrito Capital, con relación a la Región Central"</t>
  </si>
  <si>
    <t>Prestar servicios profesionales para desarrollar acciones de enlace institucional, y actividades para el abordaje e inserción en las instancias de participación del departamento de Boyacá con relación a la Región Central</t>
  </si>
  <si>
    <t>1 Documento de lineamientos para la articulación del Infraestructura de Datos Espaciales Regionales  (IDER) en los Departamentos de Boyacá, Meta y Tolima</t>
  </si>
  <si>
    <t>Prestar servicios profesionales para elaborar la propuesta de lineamientos de integración de la Infraestructura de Datos Espaciales Regionales (IDER) de los Departamentos de Boyacá, Meta y Tolima, de manera que puedan articularse al IDE que esperan desarrollar Bogotá y Cundinamarca</t>
  </si>
  <si>
    <t>Prestar servicios profesionales para apoyar la coordinación de las actividades de gestión institucional y abordaje e inserción en las instancias de participación en la Región Central</t>
  </si>
  <si>
    <t>1 Propuesta de articulación de instrumentos de ordenamiento territoria</t>
  </si>
  <si>
    <t>CONTRATADO: HECTOR RIVERA 
Se crea en la versión 4 por solicitud de la Dirección Técnica</t>
  </si>
  <si>
    <t>TIPO DE 
CONTRATO</t>
  </si>
  <si>
    <t>Adición y Pórroga del Contrato 016-17 "Prestar servicios profesionales en en el desarrollo de las actividades requeridas en el marco del proceso de gestión contractual"</t>
  </si>
  <si>
    <t>Adición y Pórroga del Contrato 022-17 "Prestar servicios profesionales para la ejecución y seguimiento a las actividades desarrolladas en el marco de los procesos corporativos de la entidad"</t>
  </si>
  <si>
    <t>Se crea en la versión 4 por solicitud de la Dirección Técnica
Se elimina en la versión 8 a solucitud de la Oficina de Planeación</t>
  </si>
  <si>
    <t>CONTRATADO: ADESCUBRIR TRAVEL &amp; ADVENTURE S.A.S. CTO 066-17
Se crea en la versión 8  por solicitud de la Dirección Técnica</t>
  </si>
  <si>
    <t>CONTRATADO: MIGUEL PINILLA VALDIVIESO  CTO 65-17
Se crea en la versión 4 por solicitud de la Dirección Técnica</t>
  </si>
  <si>
    <t>CONTRATADO: COLSUBSIDIO CTO 64-17</t>
  </si>
  <si>
    <t>CONTRATADO: RICHARD HERRERA ROA
6 MESES X 7 MILLONES
Se crea en la versión 4 por solicitud de la Dirección Técnica</t>
  </si>
  <si>
    <t>CONTRATADO: JUAN CARLOS ARBELÁEZ
6 MESES X 6 MILLONES
Se crea en la versión 4 por solicitud de la Dirección Técnica</t>
  </si>
  <si>
    <t>Se modifica en la versión 7 por solicitud de la Dirección Técnica
Se elimina en la versión 8  por solicitud de la Dirección Técnica</t>
  </si>
  <si>
    <t>Se crea en la versión 4 por solicitud de la Dirección Técnica
Se elimina en la versión 8  por solicitud de la Dirección Técnica</t>
  </si>
  <si>
    <t>Se modifica en la versión 4 por solicitud de la Dirección Técnica
Se elimina en la versión 8  por solicitud de la Dirección Técnica</t>
  </si>
  <si>
    <t>CONTRATADO: LUIS GUILERMO VACA
6 MESES X 5¨5 MILLONES</t>
  </si>
  <si>
    <t xml:space="preserve">Adquisición de herramientas de Monitoreo y Gestión para la administración de TICS de la Región Central - RAPE. </t>
  </si>
  <si>
    <t>Generar un programa para fortalecer la gestión del talento humano en la entidad</t>
  </si>
  <si>
    <t>Puesta en marcha  e implementación del programa de voluntariado para la conservación de los páramos de la Región Central</t>
  </si>
  <si>
    <t>Prestar servicios profesionales para apoyar las actividades relacionadas con los procesos de agronegocios para el desarrollo del Sistema de compras institucionales</t>
  </si>
  <si>
    <t>Estudio de prefactibilidad para la estructuración del proyecto de la Ruta de Integración para la paz en la Región Central</t>
  </si>
  <si>
    <t>Se modifica en la versión 4 por solicitud de la Dirección Técnica
Se elimina en la versión 8 por solicitud de la Dirección Técnica</t>
  </si>
  <si>
    <t>Se modifica en la versión 8 por solicitud de la Dirección Técnica</t>
  </si>
  <si>
    <t>Prestar servicios profesionales en el desarrollo de las actividades requeridas en el marco del proceso de gestión contractual</t>
  </si>
  <si>
    <t>CONTRATADO: LIBARDO CHICUAZUQUE  CTO 069-17
5 MESES X 6´5 MILLONES</t>
  </si>
  <si>
    <t>CONTRATADO: RAFAEL ARLEY VIEDA CTO 068-17
4 MESES X 2.5 MILLONES</t>
  </si>
  <si>
    <t>CONTRATADO: CAMILO ANDRES PINEDA LÓPEZ CTO 67-17
5 MESES X 6 MILLONES</t>
  </si>
  <si>
    <t>CONTRATADO: SEBASTIAN OSORIO 
6MESES X 8 MILLONES
Se modifica en la versión 4 por solicitud de la Dirección Técnica</t>
  </si>
  <si>
    <t>Total general</t>
  </si>
  <si>
    <t>Cuenta de No. PROCESO</t>
  </si>
  <si>
    <t>Mes</t>
  </si>
  <si>
    <t>Año</t>
  </si>
  <si>
    <t>Estado</t>
  </si>
  <si>
    <t xml:space="preserve">Contratado </t>
  </si>
  <si>
    <t>Pendiente</t>
  </si>
  <si>
    <t>CONTRATADO: ADICIÓN AL CONTRATO JARGU 
Se crea en la versión 2 por solicitud de la Dirección Corporativa</t>
  </si>
  <si>
    <t>CONTRATADO: 472 - SERVICIOS POSTALES NACIONALES S.A.
ORDEN DECOMPRA 17559</t>
  </si>
  <si>
    <t>Adición realizada el acontrato 024-2016
Se crea en la versión 4 por solicitud de la Dirección Corporativa</t>
  </si>
  <si>
    <t xml:space="preserve">En proceso </t>
  </si>
  <si>
    <t>CONTRATADO: YEYMER JAVIER COCUNUBO BUITRAGO CTO 071-17
5MESES X 4.4 MILLONES
 Se crea en la versión 4 por solicitud de la Dirección Técnica</t>
  </si>
  <si>
    <t>CONTRATADO: ADICIÓN AL CONTRATO ANA JULIER FONSECA CTO 004-17</t>
  </si>
  <si>
    <t xml:space="preserve">Total Contratado </t>
  </si>
  <si>
    <t xml:space="preserve">Prestar servicios profesionales para la gestión de comunicaciones en materia de interación con representantes  de los medios de comunicación  y apoyo mediático en eventos organizados  por la Región Central. </t>
  </si>
  <si>
    <t>Contratar la adquisición, configuración, instalación, puesta en marcha y mantenimiento preventivo de los componentes tecnológicos (Servidor, impresoras y escáner) brindando la conectividad y comunicación para el sistema de gestión documental de la Región Administrativa y de Planeación Especial</t>
  </si>
  <si>
    <t>Adquirir el certificado y aplicación de estampado para el sistema de gestión documental de la Región Central.</t>
  </si>
  <si>
    <t>Se crea en versión 9 a solicitud de la DC</t>
  </si>
  <si>
    <t>Prestar apoyo administrativo en el proceso de Servicio al Ciudadano y en lo relacionado con el manejo documental del mismo.</t>
  </si>
  <si>
    <t>Adición al contrato 054-17 cuyo objeto es "Contratar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t>
  </si>
  <si>
    <t>10/08/52017</t>
  </si>
  <si>
    <t>Realizar la medición de clima organizacional bajo las 5 dimensiones de la metodología Great Place to Work® aplicada a todos los colaboradores de la entidad,  en el marco del fortalecimiento de la gestión del talento humano"</t>
  </si>
  <si>
    <t>Prestación de servicios necesarios para la realización de la actividad de Reinducción, en el marco del fortalecimiento de la gestión del talento humano en la entidad</t>
  </si>
  <si>
    <t>Adición No. 1 al contrato 064 - 17 cuyo objeto es: Prestación de servicios y de apoyo necesarios para desarrollar el Plan Anual de Bienestar e Incentivos de la entidad para la vigencia 2017, el cual busca mejorar la calidad de vida de los funcionarios y sus familias.</t>
  </si>
  <si>
    <t>Diseño de un producto turístico asociado a rutas de biciturismo en la Región Central e implmentación de acciones de fortalecimiento a comunidades locales como operadores del producto</t>
  </si>
  <si>
    <t>Bienes</t>
  </si>
  <si>
    <t>Desarrollar y ejecutar una  estrategia de marketing y comunicación 360º que incluya  la producción  y emisión de  microprogramas  de televisión y  video, estrategias de marketing digital –on line- y un plan de medios de comunicación para la promoción de los proyectos de la Región Central.</t>
  </si>
  <si>
    <t>Prestar servicios profesionales para apoyar al eje Competitividad y Proyección Internacional en las acciones de formulación de los proyectos relacionados con turismo en la Región Central</t>
  </si>
  <si>
    <t>Aunar esfuerzos para el desarrollo de un programa de innovación en proceso productivo para obtener un café diferenciado con alto valor agregado para el  departamento del Tolima</t>
  </si>
  <si>
    <t>Convenio de cooperación</t>
  </si>
  <si>
    <t>Prestar servicios profesionales para la elaboración de los componentes museológicos, museográficos y de diseño de la ruta de integración para la paz</t>
  </si>
  <si>
    <t>Prestar servicios profesionales para la articulación y gestión de actores públicos y privados en el marco del proyecto de la ruta de integración para la paz</t>
  </si>
  <si>
    <t>Realizar la Interventoría técnica, administrativa, financiera, económica y legal al contrato para producción e instalación de la señalización para las rutas de biciturismo de acuerdo al plan diseñado por la Región Central</t>
  </si>
  <si>
    <t>Contrato de interventoría</t>
  </si>
  <si>
    <t>Producir y emitir  microprogramas de radio  para  visibilizar las acciones, los hechos regionales, ejes estratégicos y   proyectos que adelanta  la  Región  Central Rape</t>
  </si>
  <si>
    <t>Prestar servicios profesionales para la gestión estratégica  y la coordinación  interinstitucional en  el desarrollo de contenidos de  los proyectos  priorizados para los asociados de la Región Central</t>
  </si>
  <si>
    <t>CONTRATADO: JUAN JOSÉ LAMAR MONTOYA 
7 MILLONE SX 4 MESES CTO 075-17
Se crea en la versión 8 a solicitud de la Dirección Técnica</t>
  </si>
  <si>
    <t>CONTRATADO: CARLOS ANDRES FAJARDO TAPIAS 
CTO 074-17 8 MILLONES
Se crea en la versión 8 por solicitud de la Dirección Técnica</t>
  </si>
  <si>
    <t>CONTRATADO: SERVICIOS DE EVENTOS Y VENTAS CON TECNOLOGÍA S.A.S. – SERVENTEC S.A.S.
CTO 073-17 5 MESES</t>
  </si>
  <si>
    <t xml:space="preserve">CONTRATADO: MAIRA ALEJANDRA CTO 072-17 
4 MESES X 2.5 MILLONES
</t>
  </si>
  <si>
    <t>Adición y prórroga al Convenio 051 de 2015 (UTF/COL/072/COL-FAO) cuyo objeto es la “Estrategia de Seguridad Alimentaria y Economía Rural para la Región Central de Colombia”</t>
  </si>
  <si>
    <t xml:space="preserve">TIPO DE DOCUMENTO:               </t>
  </si>
  <si>
    <t>VERSIÓN Nº</t>
  </si>
  <si>
    <t xml:space="preserve">FORMATO </t>
  </si>
  <si>
    <t xml:space="preserve">PROCESO:           </t>
  </si>
  <si>
    <t>VIGENTE A PARTIR DE:</t>
  </si>
  <si>
    <t>GESTION CONTRACTUAL</t>
  </si>
  <si>
    <t xml:space="preserve">TITULO: </t>
  </si>
  <si>
    <t>CÓDIGO:</t>
  </si>
  <si>
    <t>Página 1 de 1</t>
  </si>
  <si>
    <t>FORMULACIÓN PLAN DE ADQUISICIONES</t>
  </si>
  <si>
    <t>F-M-GC.01-15</t>
  </si>
  <si>
    <t>FECHA FECHA ESTIMADA PARA INICIAR EL PROCESO CONTRACTUAL</t>
  </si>
  <si>
    <t>PLAN ANUAL DE ADQUISICIONES DE LA REGION ADMINISTRATIVA Y DE PLANEACIÓN ESPECIAL - RAPE REGION CENTRAL</t>
  </si>
  <si>
    <t>VIGENCIA:</t>
  </si>
  <si>
    <t>Abogada Responsable</t>
  </si>
  <si>
    <t>Claudia Paez</t>
  </si>
  <si>
    <t>Natalia Naranjo</t>
  </si>
  <si>
    <t>Angela Moreno</t>
  </si>
  <si>
    <t>Eliminado</t>
  </si>
  <si>
    <t>CONTRATO: CESAR VILLABONA CTO 076-17
4 MESES X 5.5 MILLONES</t>
  </si>
  <si>
    <t xml:space="preserve">CARLOS ANDRÉS GUERRERO CTO 78-17
4 MESES X 5.5 MILLONES </t>
  </si>
  <si>
    <t xml:space="preserve">Prestar servicios profesionales para la Pre, Pro, y Posproducción  de piezas audiovisuales (animación, fotografía, video)  y la construcción del banco de fotografía dentro de la estrategia de comunicación de la Región Central. </t>
  </si>
  <si>
    <t>CONTRATADO: GERMAN ENRIQUE GIRALDO CTO 077-17
4 MESES X 6.5 MILLONES</t>
  </si>
  <si>
    <t xml:space="preserve">CONTRATADO: FERNEY ALEXANDER PEREZ CTO 079-17
3 MESES X4.5 MILLONES </t>
  </si>
  <si>
    <t>Septiembre</t>
  </si>
  <si>
    <t>Noviembre</t>
  </si>
  <si>
    <t>Total Competitividad y proyección internacional</t>
  </si>
  <si>
    <t>Total Fortalecimiento institucional</t>
  </si>
  <si>
    <t>Total Funcionamiento</t>
  </si>
  <si>
    <t>Total Gobernanza y buen gobierno</t>
  </si>
  <si>
    <t>Total Infraestructuras de transporte, logística y servicios públicos</t>
  </si>
  <si>
    <t>Total Seguridad alimentaria y desarrollo rural</t>
  </si>
  <si>
    <t>Total Sustentabilidad ecosistémica y manejo de riesgos</t>
  </si>
  <si>
    <t>Agosto</t>
  </si>
  <si>
    <t xml:space="preserve">Total </t>
  </si>
  <si>
    <t>Total</t>
  </si>
  <si>
    <t xml:space="preserve">CONTRATADO: GPW PEOPLE´S VOICE SAS CTO 083-17
Se crea en versión 9 a solicitud de la DC
</t>
  </si>
  <si>
    <t xml:space="preserve">CONTRATADO: FABIAN MOTTA CTO 082-17
4MESES X 8.2 MILLONES
</t>
  </si>
  <si>
    <t>CONTRATADO: MARÍA TERESA BLANCO CTO 081-17
4 MESES X 4 MILLONES
Se crea en la versión 3 por solicitud de la Dirección Técnica</t>
  </si>
  <si>
    <t>CONTRATADO: JUAN NICOLÁS SÁNCHEZ SILVA CTO 080-17
4 MESES X 6.5 MILLONES
Se crea en la versión 9 a solicitud de la Dirección Técnica</t>
  </si>
  <si>
    <t xml:space="preserve">Prestar los servicios profesionales para apoyar el proceso de elaboración e implementación del Proyecto regional de voluntariado de guardapáramos </t>
  </si>
  <si>
    <t>CONTRATADO: JUAN GABRIEL JIMENEZ CTO 090-17
7.377 MILLONES X 3 MESES 10 DIAS</t>
  </si>
  <si>
    <t xml:space="preserve">CONTRATADO: JULIETH ALEJANDRA MUÑOZ ROMERO CTO 089-17 
3 MILLONES HASTA 30 DE DICIEMBRE 2017
</t>
  </si>
  <si>
    <t>CONTRATADO: ANLLELO EDUARDO GAVIRIA PINEDA CTO 088-17
1.7 MILLONES X 4 MESES</t>
  </si>
  <si>
    <t>CONTRATADO: Jorge Mauricio Bonilla CTO 086-17
6.5 MILLONES X 4 MESES
Se crea en la versión 8 a solicitud de la Dirección Técnica</t>
  </si>
  <si>
    <t>CONTRATADO: Jorge Aya CTO 087-17
7 MILLONES X 4 MESES
Se crea en la versión 8 por solicitud de la Dirección Técnica</t>
  </si>
  <si>
    <t>CONTATADO: Osman Diaz CTO 085-17
4.5 MILLONES X 4 MESES
Se crea en la versión 9 a solicitud de la Dirección Técnica</t>
  </si>
  <si>
    <t>CONTRATADO: HUMAN CHANGE CTO 084-17
UN PAGO 
Se crea en versión 9 a solicitud de la DC</t>
  </si>
  <si>
    <t>Prestar servicios profesionales para el desarrollo de la estrategia de implementación de intercambio de material potencialmente reciclable por alimentos en el territorio asignado de la Región Central</t>
  </si>
  <si>
    <t>Contratar la prestación del servicio de transporte para la realización de los mercados campesinos de la Región Central</t>
  </si>
  <si>
    <t>Se crea en la versión 8 a solicitud de la Dirección Técnica
Se elimina en la versión 10 a solicitud de la Dirección Técnica</t>
  </si>
  <si>
    <t>Prestar los servicios de operación logística en el marco del programa de competitividad y proyección internacional, de acuerdo con las especificaciones técnicas definidas por la Región Central</t>
  </si>
  <si>
    <t>3 acciones de cambio de imagen institucionaL</t>
  </si>
  <si>
    <t>Elaborar y ejecutar  la producción gráfica  (rebranding, material POP y litografía) de la nueva  imagen corporativa  de la Región Central Rape y los demás proyectos a cargo de la entidad.</t>
  </si>
  <si>
    <t xml:space="preserve">Prestar servicios profesionales para la asesoría en el proceso de rediseño institucional de la RAPE Región Central así como en la elaboración de los actos administrativos que se requieran para su implementación. </t>
  </si>
  <si>
    <t>Adición y prórroga al Contrato 12 de 2017 cuyo objeto es "Prestar servicios profesionales para  la gestión y estructuración técnica de iniciativas de inversión del  Banco de Programas y Proyectos de la Región Central"</t>
  </si>
  <si>
    <t>CONTRATADO: ROY STIK LARRARTE CRUZ CTO 091-17
3.4 MILLONES X 4 MESES</t>
  </si>
  <si>
    <t>FUNCIONAMIENTO
/INVERSIÓN</t>
  </si>
  <si>
    <t xml:space="preserve">ADICIONADO: Donalson Steven </t>
  </si>
  <si>
    <t xml:space="preserve">Publicado </t>
  </si>
  <si>
    <t>Adición y Prorroga N. 1 al contrato N. 023-2017 cuyo objeto es "Prestar servicios profesionales para la identificación y estructuración de proyectos ambientales en la Región"</t>
  </si>
  <si>
    <t>Adición y prórroga al contrato 037-17 cuyo objeto es: "Prestar servicios profesionales para la estructuración y puesta en marcha de una estrategia para la implementación del proyecto de compras institucionales"</t>
  </si>
  <si>
    <t>Adición y prórroga del contrato 43 de 2017 cuyo objeto es Prestar servicios profesionales para llevar a cabo la coordinación y seguimiento a los procesos que se desarrollen en el marco de los planes, programas y proyectos ejecutados de conformidad con las políticas de seguridad alimentaria</t>
  </si>
  <si>
    <t>Adición y prórroga al Contrato 048-17 cuyo objeto es: "Prestar servicios profesionales de apoyo técnico en temas de reconversión productiva y buenas prácticas agropecuarias en el marco de los proyectos que desarrolle la entidad"</t>
  </si>
  <si>
    <t>Elaboración de estudios y diseños para la infraestructura física de la primera etapa ruta de integración para la Paz en la Región Central</t>
  </si>
  <si>
    <t xml:space="preserve">Realizar la compra de estantería y mobiliario para la adecuación de el depósito de la entidad </t>
  </si>
  <si>
    <t>Obra</t>
  </si>
  <si>
    <t>CONTRATADO: JAIME ANDRÉS FLOREZ MURCIA CTO 097-17
8 MILLONES - HASTA EL 31 DE DICIEMBRE</t>
  </si>
  <si>
    <t xml:space="preserve">CONTRATADO: ALEJANDRA ACOSTA ESTUPIÑAN CTO 096-17
3 MESES X 4,2 MILLONES </t>
  </si>
  <si>
    <t>CONTRATADO: DIANA PATRICIA BARRERA SORACA
4.5 MILLONES X HASTA EL 30 DE DIC
Se crea en la versión 4 por solicitud de la Dirección Técnica
Se modifica en la versión 8  por solicitud de la Dirección Técnica</t>
  </si>
  <si>
    <t>INVERSIONES PUIN S.A.S CTO 094-17
3 MESES 20 DÍAS
Se crea en la versión 8 a solucitud de la Dirección Corporativa</t>
  </si>
  <si>
    <t>CONTRATADO: CONTEXTO JURÍDICO CTO 093-17
UN AÑO</t>
  </si>
  <si>
    <t>CONTRATADO: KAROLINA LÓPEZ VELÁSQUEZ CTO 092-17
3 MESES X 5 MILLONES</t>
  </si>
  <si>
    <t>ADICIONADO: CAROLINA HIGUERA 037-17
18 MILLONES X 3 MESES
Se crea en la versión 8 por solicitud de la Dirección Técnica</t>
  </si>
  <si>
    <t>Adición y prórroga del contrato 031 de 2017 cuyo objeto es "Prestar servicios profesionales para adelantar la gestión y el seguimiento de los proyectos, ordenanzas y acuerdos y demás actos administrativos relacionados con la misión de la Región Central"</t>
  </si>
  <si>
    <t>ADICIONADO: JULIO CESAR PULIDO CTO 023-17
24 MILLONES X 3 MESES</t>
  </si>
  <si>
    <t>ADICIONADO: PAOLA STERLING LONDOÑO CTO 012-17
21 MILLONES X 3 MESES</t>
  </si>
  <si>
    <t>ADICIONADO: FAO CON 051-17
Se modifica en la versión 4 por solicitud de la Dirección Técnica</t>
  </si>
  <si>
    <t>ADICIONADO: ASEGURADORA SOLIDARIA DE COLOMBIA 
CONTRATO: 054-2017
Se modifica en la versión 4 por solicitud de la Dirección Corporativa</t>
  </si>
  <si>
    <t>ADICIONADO: VIVIANA BELTRÁN</t>
  </si>
  <si>
    <t>Prestar servicios técnicos de apoyo para  la formulación del proyecto de la ruta de integración de la paz en la Región Central.</t>
  </si>
  <si>
    <t>Inversión</t>
  </si>
  <si>
    <t>Conservar y restaurar áreas de importancia ecosistemica - Fomentar el uso sostenible del suelo importancia ecosistémica</t>
  </si>
  <si>
    <t>Establecer mecanismos de articulación, coordinación y gestión socioambiental entre actores públicos y privados</t>
  </si>
  <si>
    <t>Contratar bajo el sistema de precios unitarios fijos sin formula de reajuste las obras de restauración ecológica y reconversión productiva en los complejos de páramos de la Región Central, integrados en los grupos que se detallan en el componente técnico del proceso.</t>
  </si>
  <si>
    <t>Contratar la compra de materiales como insumos necesarios para lograr los objetivos del programa de monitoreo y seguimiento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</si>
  <si>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servicios profesionales para ejercer la Dirección Técnica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</si>
  <si>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servicios profesionales para la coordinación y seguimiento a las estrategias del componente de gestión y articulación socioambiental en el marco del proyecto Páramos de la Región Central</t>
  </si>
  <si>
    <t xml:space="preserve">Presetar los servicios para la formulación y ejecución de una Estrategia de Comunicaciones para el Proyecto Páramos de la Región central </t>
  </si>
  <si>
    <t>Prestar servicios profesionales para la gestión y  actualización  de comunidades virtuales on line y redes sociales del proyecto Páramos de la Región Central</t>
  </si>
  <si>
    <t>Prestar servicios profesionales para formular la estrategia pedagógica y de comunicaciones del proyecto Páramos</t>
  </si>
  <si>
    <t>Prestar los servicios para realizar talleres de educación ambiental comunitaria a niños y lideres ambientales en el marco del proyecto Paramos de la Región Central</t>
  </si>
  <si>
    <t>Prestar servicios profesionales para coordinar todas las actividades de carácter administrativo y financiero para el desarrollo y gestión de los recursos administrativos, humanos, físicos, documentales, tecnológicos y financieros encaminados a cumplir con el proyecto denominado “Implementación de Acciones de Conservación y Restauración de los Complejos de páramo, Bosque alto- Andino y servicios ecosistémicos de la Región Central Implementación de Acciones de Conservación y Restauración de los complejos de Páramo, Bosque Alto Andino y restauración de los complejos de Paramo”</t>
  </si>
  <si>
    <t>Prestación de servicios profesionales para la proyección, revisión, análisis y orientación en los asuntos legales que surjan de la ejecución del proyecto “Implementación de acciones de conservación y restauración de los complejos de páramo, bosque alto andino y restauración de los complejos de páramo” aprobado por el Sistema General de Regalías, relacionados con la estructuración de conceptos jurídicos, atención de consultas y emisión de directrices jurídicas; así como la elaboración y estudio de actos administrativos y demás actuaciones legales y jurídicas que se deban adelantar en el marco de la gestión pre contractual, contractual y poscontractual.</t>
  </si>
  <si>
    <t>Prestar servicios técnicos de apoyo a la gestión administrativa y operativa, para el desarrollo de las actividades requeridas en el marco de los procesos administrativos, técnicos y operativos del proyecto de acciones de conservación y restauración de páramos.</t>
  </si>
  <si>
    <t>Prestación de servicios de apoyo para el desarrollo de los procesos y procedimientos administrativos, técnicos y operativos que se requieran en la ejecución del proyecto para el grupo de complejo de páramos que le sea asignado.</t>
  </si>
  <si>
    <t xml:space="preserve">Prestar apoyo operativo para el desarrollo de las actividades requeridas en el marco de los procesos administrativos y técnicos del proyecto Páramos de la Región Central. </t>
  </si>
  <si>
    <t>Prestar el servicio de aseo y cafetería, incluyendo el suministro de los elementos necesarios para el mismo, para el proyecto Páramos de la Región Administrativa y de Planeación Especial  RAPE - Región Central</t>
  </si>
  <si>
    <t>Contratar el arrendamiento del bien inmueble donde funcionaran las oficinas del Proyecto Páramos</t>
  </si>
  <si>
    <t>Servicio Publicos</t>
  </si>
  <si>
    <t>Contratar el alquiler e instalación de equipos de cómputo que incluya mantenimiento preventivo, correctivo y soporte técnico, de conformidad con las especificaciones técnicas establecidas por el proyecto Páramos de la Región Administrativa y de Planeación Especial - RAPE - Región Central</t>
  </si>
  <si>
    <t>Contratar la compra e instalación de mobiliario para la adecuación de la sede del  proyecto Páramos de la Región Administrativa y de Planeación Especial - RAPE - Región Central</t>
  </si>
  <si>
    <t xml:space="preserve">Suscripción de herramientas colaborativas del licenciamiento office 365 para el proyeto Páramos </t>
  </si>
  <si>
    <t>Gastos de Desplazamiento</t>
  </si>
  <si>
    <t xml:space="preserve">Prestar el servicio de transporte público terrestre automotor especial para desarrollar las actividades del proyecto Páramos de la Región Administrativa y de Planeación Especial RAPE - Región Central </t>
  </si>
  <si>
    <t>BPIN 2016000050012</t>
  </si>
  <si>
    <t>SGR</t>
  </si>
  <si>
    <t>Selección abreviada de Susbasta Inversa</t>
  </si>
  <si>
    <t>Selección Abreviada de Menor Cuantía</t>
  </si>
  <si>
    <t xml:space="preserve">Arrendamiento </t>
  </si>
  <si>
    <t>Suministro</t>
  </si>
  <si>
    <t>CONTRATADO: DAVID RIVERA OSPINA CTO 101- 17</t>
  </si>
  <si>
    <t>CONTRATADO: JUAN CARLOS ARBELÁEZ MURILLO CTO100-17 
Se crea en la versión 8 por solicitud de la Dirección Técnica</t>
  </si>
  <si>
    <t>CONTRATADO: TV ANDINA CANAL 13 CTO 099-17</t>
  </si>
  <si>
    <t>CONTRATADO: SOLANLLY CASTELLANOS RINCÓN CTO 098-17</t>
  </si>
  <si>
    <t>CONTRATADO: ADRIANA SERLEY SANABRIA LENIS CTO 001-17 SG</t>
  </si>
  <si>
    <r>
      <rPr>
        <b/>
        <sz val="26"/>
        <color theme="1"/>
        <rFont val="Calibri"/>
        <family val="2"/>
        <scheme val="minor"/>
      </rPr>
      <t>Se suprime</t>
    </r>
    <r>
      <rPr>
        <sz val="26"/>
        <color theme="1"/>
        <rFont val="Calibri"/>
        <family val="2"/>
        <scheme val="minor"/>
      </rPr>
      <t xml:space="preserve"> este proceso por solicitud de la Dirección Técnica en la Versión 4</t>
    </r>
  </si>
  <si>
    <t>Adicionado:RICHARD COLORADO CUESTAS CTO 051-17</t>
  </si>
  <si>
    <t>Adicionado: José Antonio Palma Bacca cto 047-17
Se crea en la versión 8 por solicitud de la Dirección Técnica</t>
  </si>
  <si>
    <t>Adicionado: DIEGO ALONSO GUTIERREZ RANGEL  CTO 048-17</t>
  </si>
  <si>
    <t>ADICIONADO: SEBASTIAN DE JESUS OSORIO CTO 043-17</t>
  </si>
  <si>
    <t>Adicionado: SERVITAC 055-17</t>
  </si>
  <si>
    <t>JOSE FRANCISCO SEQUEDA
Se modifica en la versión 4 por solicitud de la Dirección Técnica</t>
  </si>
  <si>
    <t>CONTRATADO: LUIS GUILERMO VACA
Se crea en la versión 8 por solicitud de la Dirección Técnica</t>
  </si>
  <si>
    <t>CONTRATADO: CLAUDIA ALEJANDRA SÁNCHEZ BERMUDEZ
Se crea en la versión 8 por solicitud de la Dirección Técnica</t>
  </si>
  <si>
    <t>CONTRATADO: ANGELA PATRICIA MORENO</t>
  </si>
  <si>
    <t>Adición y Prórroga No. 1 al contrato 004 de 2017 cuyo objeto es "Prestar servicios profesionales para la actualización y mantenimiento del SIG regional que garantice la elaboración de productos cartográficos"</t>
  </si>
  <si>
    <t>Prestar Servicios profesionales para la integración y actualización geográfica, cartográfica y alfanumérica del Sistema de Información Geográfica - SIG de la Región Central, asegurando la planeación de los proyectos de la entidad.</t>
  </si>
  <si>
    <t>Prestar servicios profesionales de apoyo a la gestión jurídica que contribuya con la gestión de los procesos contractuales previstos en el marco de proyectos de inversión de la vigencia y los derivados del PER</t>
  </si>
  <si>
    <t>Prestar servicios profesionales para la estructuración del componente jurídico de los proyectos que contemplen la articulación de los instrumentos de ordenamiento territorial.</t>
  </si>
  <si>
    <t>Adición y prórroga No 1 del contrato 025-2017 cuyo objeto es: "Prestar servicios profesionales para realizar el seguimiento a los instrumentos de planeación definidos al interior de la entidad, en el marco del Sistema Integrado de Gestión"</t>
  </si>
  <si>
    <t>Aunar esfuerzos técnicos, administrativos y económicos entre la Corporación Autónoma Regional de Cundinamarca – CAR, la Región Administrativa y de Planeación Especial – RAPE Región Central, la Corporación para el Manejo Sostenible de los Bosques – MASBOSQUES, así como aquellas entidades  establecidas en el artículo 2 del Decreto Ley 870 de 2017, para implementar y consolidar el esquema BanCO2® “Servicios Ambientales Comunitarios” en las áreas de importancia estratégica de la jurisdicción CAR</t>
  </si>
  <si>
    <t>CONTRATADO: CONSORCIO FAME CTO 104-17
Se crea en la versión 8 a solicitud de la Dirección Técnica</t>
  </si>
  <si>
    <t xml:space="preserve">CONTRATADO: REALTIME CONSULTING &amp; SERVICES S.A.S CTO 103-17
Se ajusta en Versión 8 Convenio CAR </t>
  </si>
  <si>
    <t>CONTRATADO: SGS COLOMBIA S.A.S. CTO 102-17
Se modifica en la versión 4 por solicitud de la Dirección Técnica
Se modifica en la versión 8 a solucitud de la Oficina de Planeación</t>
  </si>
  <si>
    <t>ADICIONADO: CTO 025-17 CARLOS FERNANDO LEÓN</t>
  </si>
  <si>
    <t>ADICIONADO: EDWIN ANDRÉS CLAVIJO CTO 022-17</t>
  </si>
  <si>
    <t>ADICIONADO: JUAN CAMILO BALSERO CTO 020-17
Se crea en la versión 8 a solucitud de la Oficina de Planeación</t>
  </si>
  <si>
    <t>ADICIÓN: NANCY CAROLINA HERNÁNDEZ CTO 024-17
Se crea en la versión 8 a solucitud de la Oficina de Planeación</t>
  </si>
  <si>
    <t>Adición y prórroga del contrato 047 de 2017 cuyo objeto es "Prestar servicios profesionales para la identificación, abordaje e inserción de las instancias de participación en el departamento del Meta, con relación a la Región Central"</t>
  </si>
  <si>
    <t>Adición y prórroga del contrato 058 de 2017 cuyo objeto es "Prestar servicios profesionales para desarrollar acciones de enlace institucional y coordinación de agendas con el departamento de Tolima como territorio asociado de la Región Central"</t>
  </si>
  <si>
    <t>Adición y prórroga del contrato 051 de 2017 cuyo objeto es "Prestar servicios profesionales para la iodentificación, abordaje e inserción de las instancias de participación en el departamento de Cundinamarca, con relación a la Región Central"</t>
  </si>
  <si>
    <t>CONTRATADO: RAÚL ANTONIO DIAZ ARENAS CTO 002RG-17 
3 MESES X 2 MILLONES</t>
  </si>
  <si>
    <t xml:space="preserve">CONTRATADO: DANIEL GOMEZ PINZON CTO 003RG -17
3 MESES X 2 MILLONES </t>
  </si>
  <si>
    <t xml:space="preserve">CONTRATADO: JOHANNA PAOLA GUASCA CARRANSA CTO 004RG -17
3 MESES X 2 MILLONES </t>
  </si>
  <si>
    <t xml:space="preserve">CONTRATADO: LORENA JULIETH MIRANDA ROCHA CTO 005RG -17
3 MESES X 2 MILLONES </t>
  </si>
  <si>
    <t>CONTRATADO: CIRO ABSALON OCHOA JIMENEZ CTO 006RG-17
3 MESES X 6 MILLONES</t>
  </si>
  <si>
    <t>CONTRATADO: CARLOS ALBERTO HERNÁNDEZ CTO 007RG-17
3 MESES X 6 MILLONES</t>
  </si>
  <si>
    <t>CONTRATADO: MARCO TULIO AREVALO CTO 010RG-17
12 MESES X 8 MILLONES</t>
  </si>
  <si>
    <t>CONTRATADO: GLORIA FERNANDA BAEZ CTO 013RG-2017
6 MESES X 5 MILLONES</t>
  </si>
  <si>
    <t>CONTRATADO: MAYERLY ANGELICA MOSCOTE CTO 012RG-2017
6 MESES X 5 MILLONES</t>
  </si>
  <si>
    <t>CONTRATADO: ERIKA ELIANA AMAYA CTO 011RG-2017
6 MESES X 5 MILLONES</t>
  </si>
  <si>
    <t>CONTRATADO: SANTIAGO ANDRÉS SIERRA CTO 009RG-2017
6 MESES X 5 MILLONES</t>
  </si>
  <si>
    <t>CONTRATADO: DIANA CAROLINA GUIASCA CTO 008RG-2017
6 MESES X 5 MILLONES</t>
  </si>
  <si>
    <t>CONTRATADO: RAQUEL SOFIA BLANCO CTO 014RG-2017
6 MESES X 5 MILLONES</t>
  </si>
  <si>
    <t>CONTRATADO: DORIS NEIRA SANDOVAL CTO 015RG-2017
6 MESES X 5 MILLONES</t>
  </si>
  <si>
    <t>CONTRATADO: ANA MARIA CABALLERO RAMOS CTO 016RG-2017
6 MESES X 5 MILLONES</t>
  </si>
  <si>
    <t>CONTRATADO: ANA MARIA PEÑUELA NARVAEZ CTO 017RG-2017
6 MESES X 5 MILLONES</t>
  </si>
  <si>
    <t>CONTRATADO: ANGELINO TOVAR CTO 018RG-17
3 MESES X 6 MILLONES</t>
  </si>
  <si>
    <t>CONTRATADO: MAYRA MELO QUIROGA CTO 019RG-2017
6 MESES X 5 MILLONES</t>
  </si>
  <si>
    <t>CONTRATADO: GISELA ASTRID LOPEZ CTO 020RG-2017
6 MESES X 5 MILLONES</t>
  </si>
  <si>
    <t>CONTRATADO: JAIR EDUARDO RUIZ CTO 021RG-2017
6 MESES X 5 MILLONES</t>
  </si>
  <si>
    <t>CONTRATADO: ANDRES DARIO SALAZAR CTO 022RG-2017
6 MESES X 5 MILLONES</t>
  </si>
  <si>
    <t>CONTRATADO: CAROLINA CIFUENTES CTO 023RG-2017
6 MESES X 5 MILLONES</t>
  </si>
  <si>
    <t>CONTRATADO: DIEGO FERNANDO CARDENAS CTO 024RG-2017
6 MESES X 5 MILLONES</t>
  </si>
  <si>
    <t>CONTRATADO: CESAR RENEN LOPEZ CTO 025RG-2017
6 MESES X 5 MILLONES</t>
  </si>
  <si>
    <t>CONTRATADO: HECTOR JOSÉ RIVERA CTO 026RG-2017
6 MESES X 5 MILLONES</t>
  </si>
  <si>
    <t>CONTRATADO: YISED SOCORRAS CTO 027RG-2017
6 MESES X 5 MILLONES</t>
  </si>
  <si>
    <t>CONTRATADO: BLANCA LILIA GONZALEZ CTO 028RG-17
3 MESES X 6 MILLONES</t>
  </si>
  <si>
    <t>Contratado</t>
  </si>
  <si>
    <t xml:space="preserve">CONTRTADO: SERVITAC CTO 105-17
3 MESES </t>
  </si>
  <si>
    <t>CONTRATADO: SERVIASEO OC 13668 DE 2017</t>
  </si>
  <si>
    <t>CONTRATADO: CLAUDIA PÁEZ CTO 001-17
6 MESES X 6`1 MILLONES 
tenia 61 millones</t>
  </si>
  <si>
    <t>CONTRATADO: CLAUDIA PAEZ CTO 070-17
5 meses y 13 días X 6'1 MILLONES</t>
  </si>
  <si>
    <t>CONTRATADO: EDWIN ANDRÉS CLAVIJO CTO 022-17
8 MESES X 6'1 MILLONES
Tenia 61 millones</t>
  </si>
  <si>
    <r>
      <t>CONTRATADO: JENNY ALEJANDRA RODRÍGUEZ BERMUDEZ</t>
    </r>
    <r>
      <rPr>
        <b/>
        <sz val="11"/>
        <color theme="1"/>
        <rFont val="Calibri"/>
        <family val="2"/>
        <scheme val="minor"/>
      </rPr>
      <t xml:space="preserve">
Se suprimió </t>
    </r>
    <r>
      <rPr>
        <sz val="11"/>
        <color theme="1"/>
        <rFont val="Calibri"/>
        <family val="2"/>
        <scheme val="minor"/>
      </rPr>
      <t>este proceso por solicitud de la Dirección Técnica en la Versión 2 y se</t>
    </r>
    <r>
      <rPr>
        <b/>
        <sz val="11"/>
        <color theme="1"/>
        <rFont val="Calibri"/>
        <family val="2"/>
        <scheme val="minor"/>
      </rPr>
      <t xml:space="preserve"> modificó</t>
    </r>
    <r>
      <rPr>
        <sz val="11"/>
        <color theme="1"/>
        <rFont val="Calibri"/>
        <family val="2"/>
        <scheme val="minor"/>
      </rPr>
      <t xml:space="preserve"> en la versión 4 por solicitud de la Dirección Técnica</t>
    </r>
  </si>
  <si>
    <t xml:space="preserve">diseñar una estrategia de especialización inteligente para la región articulada a la definida para Bogotá-Cundinamarca e implementar uno de los proyectos priorizados en la agenda regional </t>
  </si>
  <si>
    <t>Aunar esfuerzos técnicos, administrativos y finanacieros para el diseño de un programa de incentivos a la conservación ecológica, que permita desarrollar el modelo de pagos por Servicios Ambientales de la Región Central, mediante la implementación de pilotos en áreas focalizadas de 2 municipios en el territorio de los asociados de la RAPE - Región Central.</t>
  </si>
  <si>
    <t>Adquisición de base de datos SQL para administrar los datos del Sistema de Gestión Documental</t>
  </si>
  <si>
    <t>Declarado Desierto</t>
  </si>
  <si>
    <t>(Varios elementos)</t>
  </si>
  <si>
    <t>DISTRIBUCIÓN PROCESOS CONTRACTUALES PAA VERSIÓN 13</t>
  </si>
  <si>
    <t>Suma de VALOR ESTIMADO</t>
  </si>
  <si>
    <t>Cuenta de VALOR ESTIMADO2</t>
  </si>
  <si>
    <t>Suma de DIFERENCIA</t>
  </si>
  <si>
    <t xml:space="preserve">Desplazamiento </t>
  </si>
  <si>
    <t>CONTRATADO: FRANCISCO CANAL
6 MESES X 8 MILLONES Valor ejecutado de $48 millones terminación anticipada</t>
  </si>
  <si>
    <t>Octubre</t>
  </si>
  <si>
    <t>Publicado</t>
  </si>
  <si>
    <t>Suma de VALOR CONTRATADO</t>
  </si>
  <si>
    <t>CONTRATADO: LUIS MIGUEL RAMIREZ DIAZ
6MESES X 2,5 MILLONES REDUCCIÓN POR TERMINACIÓN ANTICIPADA
Se modifica en la versión 4 por solicitud de la Dirección Técnica</t>
  </si>
  <si>
    <t>CONTRATADO: MIGUEL RAMIRO GIL
CONTRATO 057-17 
6 MESES X 4 MILLONES
 Se crea en la versión 4 por solicitud de la Dirección Técnica</t>
  </si>
  <si>
    <t>ADICIONADO:  RICHARD HERRERA ROA CTO 031-17
14 MILLONES X 2 MESES 
Se crea en la versión 8 por solicitud de la Dirección Técnica</t>
  </si>
  <si>
    <t>Suscripción de herramientas colaborativas del licenciamiento office 365</t>
  </si>
  <si>
    <t xml:space="preserve">Total Desplazamiento </t>
  </si>
  <si>
    <t xml:space="preserve">Comunicaciones - Fortalecimiento  </t>
  </si>
  <si>
    <t>Saldos contratos PSP (Oscar Colmenares, Germán Enrique y Jaime Flórez)</t>
  </si>
  <si>
    <t xml:space="preserve">Dirección Corporativa - Fortalecimiento </t>
  </si>
  <si>
    <t>Storage</t>
  </si>
  <si>
    <t xml:space="preserve">Servidor </t>
  </si>
  <si>
    <t xml:space="preserve">Dirección Corporativa - Funcionamiento </t>
  </si>
  <si>
    <t xml:space="preserve">Honorarios </t>
  </si>
  <si>
    <t xml:space="preserve">Personal </t>
  </si>
  <si>
    <t>Compra de equipos o separata</t>
  </si>
  <si>
    <t>Computador Comunicaciones</t>
  </si>
  <si>
    <t xml:space="preserve">Observación </t>
  </si>
  <si>
    <t>Valor  disponible</t>
  </si>
  <si>
    <t>video</t>
  </si>
  <si>
    <t>Equipo</t>
  </si>
  <si>
    <t>separata</t>
  </si>
  <si>
    <t>Valores</t>
  </si>
  <si>
    <t xml:space="preserve">                                                                                                                                                                                                                                                                                                                                                                                                     </t>
  </si>
  <si>
    <t>Servidor</t>
  </si>
  <si>
    <t>Microprogramas</t>
  </si>
  <si>
    <t>PC</t>
  </si>
  <si>
    <t>GPS</t>
  </si>
  <si>
    <t>Camara</t>
  </si>
  <si>
    <t xml:space="preserve">Video </t>
  </si>
  <si>
    <t>Saldos OAC</t>
  </si>
  <si>
    <t xml:space="preserve">mínima </t>
  </si>
  <si>
    <t xml:space="preserve">Sale de </t>
  </si>
  <si>
    <t>Competitividad</t>
  </si>
  <si>
    <t>Separata</t>
  </si>
  <si>
    <t>Sustentabilidad</t>
  </si>
  <si>
    <t>Muestra Folk</t>
  </si>
  <si>
    <t>Publicaciones</t>
  </si>
  <si>
    <t>Necesidad</t>
  </si>
  <si>
    <t>CONTRATADO: LUIS ENRIQUE CAICEDO CTO 109-17</t>
  </si>
  <si>
    <t>CONTRATADO: DANIEL OBDULIO FRANCO CASTAÑEDA CTO 108-2017</t>
  </si>
  <si>
    <t>CONTRATADO: PATRICIA ABRIL OSPITIA CTO 107-2017</t>
  </si>
  <si>
    <t>Adicionado: Miguel Gil Cto 057-17</t>
  </si>
  <si>
    <t>Adicionado: Edwin Castro 058-17
Se crea en la versión 8 por solicitud de la Dirección Técnica</t>
  </si>
  <si>
    <t>Adquisición de equipos de cómputo requeridos por la Oficina Asesora de Comunicaciones para el desarrollo de actividades planes, programas y proyectos a cargo de la Región Central RAP-E</t>
  </si>
  <si>
    <t>Licencia</t>
  </si>
  <si>
    <t>Licencia para el PC</t>
  </si>
  <si>
    <t>Adquisición de equipos tecnológicos y audiovisuales para el fortalecimiento de la actividades, planes, programas y proyectos a cargo de la Región Central RAPE</t>
  </si>
  <si>
    <t>DISTRIBUCIÓN PROCESOS CONTRACTUALES PAA VERSIÓN 15
Mes OCTUBRE</t>
  </si>
  <si>
    <t>DISTRIBUCIÓN PROCESOS CONTRACTUALES PAA VERSIÓN 15
Mes NOVIEMBRE</t>
  </si>
  <si>
    <t>DISTRIBUCIÓN PROCESOS CONTRACTUALES PAA VERSIÓN 15
Mes SEPTIEMBRE</t>
  </si>
  <si>
    <t>Compra de las Licencias de Ofimática y programas de diseño</t>
  </si>
  <si>
    <t>"Adición y prórroga al contrato 071-17 cuyo objeto es "Prestar servicios profesionales en el proceso de planificación, seguimiento y monitoreo del presupuesto del proyecto  de páramos y de los proyectos asociados a éste y apoyo técnico de confromidad con lo dispuesto por el sistema GESPROY del Sistema General de Regalías"</t>
  </si>
  <si>
    <t>13 días</t>
  </si>
  <si>
    <t>Adición y prórroga al contrato 040-2017 cuyo objeto es: "Prestar servicios técnicos de apoyo a la gestión para el abordaje e inserción comunitaria para la protección del recurso hídrico de la Región Central en las áreas que le sean definidas".</t>
  </si>
  <si>
    <t>1 mes 18 días</t>
  </si>
  <si>
    <t>Adición y prórroga al contrato 038-2017 cuyo objeto es: "Prestar servicios técnicos de apoyo a la gestión para el abordaje e inserción comunitaria para la protección del recurso hídrico de la Región Central en las áreas que le sean definidas"</t>
  </si>
  <si>
    <t>1 mes y 14 dias</t>
  </si>
  <si>
    <t>Adición y Prórroga al contrato 072-2017 cuyo objeto es "Prestar servicios técnicos  de apoyo en la implementación del proyecto de intercambio de material potencialmente reciclable por productos agrícolas, en el territorio de la Región Central asignado"</t>
  </si>
  <si>
    <t>1 mes y 7 días</t>
  </si>
  <si>
    <t>Adición y pórroga del contrato 076-2017 cuyo objeto es: "Prestar servicios profesionales para la implementación del proyecto de intercambio de material potencialmente reciclable por alimentos"</t>
  </si>
  <si>
    <t>21 dias</t>
  </si>
  <si>
    <t xml:space="preserve">Desarrollar y ejecutar una estrategia de comunicación audio visual que incluya la realización de un video institucional y la elaboración y publicación de contenidos (ATL), donde se visibilicen los planes, proyectos y programas de la Región Central RAP-E. </t>
  </si>
  <si>
    <t>Adición y prórroga al contrato 075-2017 cuyo objeto es: "Prestar servicios profesionales para apoyar el Eje Competitividad y Proyección Internacional en lo relacionado a los productos turístico de la Ruta del Dorado y BiciRegión de la Región Central"</t>
  </si>
  <si>
    <t>Prestación de Servicios artísticos  para la puesta en marcha de una estrategia comunicativa BTL de performance artístico donde se visibilicen las manifestaciones socioculturales de los territorios asociados a la Región Central RAP-E (Bogotá D,C., Cundinamarca, Boyacá, Tolima y Meta).</t>
  </si>
  <si>
    <t>Desarrollar y ejecutar una estrategia de comunicación audio visual que incluya la realización de un video institucional y la elaboración y publicación de contenidos (ATL), donde se visibilicen los planes, proyectos y programas de la Región Central RAP-E.</t>
  </si>
  <si>
    <t>Adición y prórroga No. 7 al Convenio 051 de 2015 (UTF/COL/072/COL-FAO) cuyo objeto es la “Estrategia de Seguridad Alimentaria y Economía Rural para la Región Central de Colombia”</t>
  </si>
  <si>
    <t>Adición y prórroga No 2 al Contrato 048-17 cuyo objeto es: "Prestar servicios profesionales de apoyo técnico en temas de reconversión productiva y buenas prácticas agropecuarias en el marco de los proyectos que desarrolle la entidad"</t>
  </si>
  <si>
    <t>Adición No. 1 del contrato 099-2017 cuyo objeto es: "Desarrollar y ejecutar una  estrategia de marketing y comunicación 360º que incluya  la producción  y emisión de  microprogramas  de televisión y  video, estrategias de marketing digital –on line- y un plan de medios de comunicación para la promoción de los proyectos de la Región Central."</t>
  </si>
  <si>
    <t>Aunar esfuerzos técnicos, administrativos y finanacieros para el diseño de un programa de incentivos a la conservación ecológica, que permita desarrollar el modelo de pagos por Servicios Ambientales de la Región Central, mediante la implementación de pilotos en áreas focalizadas de 3 municipios en el territorio de los asociados de la RAPE - Región Central.</t>
  </si>
  <si>
    <t>CONTRATADO: YULY TATIANA SILVA ESPINEL</t>
  </si>
  <si>
    <r>
      <t>CONTRATADO: YULY TATIANA SILVA ESPINEL</t>
    </r>
    <r>
      <rPr>
        <b/>
        <sz val="22"/>
        <color theme="1"/>
        <rFont val="Calibri"/>
        <family val="2"/>
        <scheme val="minor"/>
      </rPr>
      <t xml:space="preserve">
Se suprimió </t>
    </r>
    <r>
      <rPr>
        <sz val="22"/>
        <color theme="1"/>
        <rFont val="Calibri"/>
        <family val="2"/>
        <scheme val="minor"/>
      </rPr>
      <t>este proceso por solicitud de la Dirección Técnica en la Versión 2 y se</t>
    </r>
    <r>
      <rPr>
        <b/>
        <sz val="22"/>
        <color theme="1"/>
        <rFont val="Calibri"/>
        <family val="2"/>
        <scheme val="minor"/>
      </rPr>
      <t xml:space="preserve"> modificó</t>
    </r>
    <r>
      <rPr>
        <sz val="22"/>
        <color theme="1"/>
        <rFont val="Calibri"/>
        <family val="2"/>
        <scheme val="minor"/>
      </rPr>
      <t xml:space="preserve"> en la versión 4 por solicitud de la Dirección Técnica</t>
    </r>
  </si>
  <si>
    <t>CONTRATADO: JENNY ALEJANDRA RODRÍGUEZ BERMUDEZ</t>
  </si>
  <si>
    <t>Adición y prórroga  al contrato 068-2017 cuyo opbjeto es: "Prestar servicios tecnicos y operativos de apoyo a la gestión para el desarrollo de los proyectos de la Region Central"</t>
  </si>
  <si>
    <t>CONTRATADO: RAFAEL ARLEY VIEDA CTO 068-17</t>
  </si>
  <si>
    <t>DISTRIBUCIÓN PROCESOS CONTRACTUALES PAA VERSIÓN 15
Mes Septiembre</t>
  </si>
  <si>
    <t>DISTRIBUCIÓN PROCESOS CONTRACTUALES PAA VERSIÓN 15
Mes Octubre</t>
  </si>
  <si>
    <t>DISTRIBUCIÓN PROCESOS CONTRACTUALES PAA VERSIÓN 15
Mes Noviembre</t>
  </si>
  <si>
    <t>Nov</t>
  </si>
  <si>
    <t xml:space="preserve">contratado </t>
  </si>
  <si>
    <t>CONTRATADO: CAROL VANESSA GARZÓN CUBILLOS 
CTO 63-17 6 MESES X 4 MILLONES
Se crea en la versión 7 por solicitud de la Dirección Técnica</t>
  </si>
  <si>
    <t>Adición y prórroga al contrato 063-17 cuyo objeto es "Prestar servicios profesionales para apoyar a la entidad en el desarrollo  de la  estrategia de marketing digital de la Región Central, que incluya  el manejo de redes sociales  y  la administración de comunidades virtuales"</t>
  </si>
  <si>
    <t>CONTRATADO: NEX COMPUTER S.A. 061-17
Se crea en la versión 8 a solucitud de la Dirección Corporativa</t>
  </si>
  <si>
    <t>Modificación 1 y Adición 1 al Contrato 094 de 2017 cuyo Objeto es: "Prestación de servicios para la operación logística en la organización y ejecución de actividades requeridas por la entidad, en el marco de sus funciones misionales y administrativas".</t>
  </si>
  <si>
    <t>Contratar la adquisición, configuración, instalación, puesta en marcha y mantenimiento preventivo de los componentes tecnológicos (Switch, Firewall, Acces Point, UPS, Cableado Estructurado, Rack, Servidor y Telefonía IP) el cual brindará la conectividad, comunicación y seguridad perimetral a la red local del Proyecto Páramos de la RAP-E Región Central</t>
  </si>
  <si>
    <t>Prestar servicios profesionales para  apoyar estandarización de bases de datos y archivos planos que permitan la consolidación de datos abiertos de la entidad con un mejor manejo y disponibilidad de información regional en la estrcuturación de proyectos de inversión.</t>
  </si>
  <si>
    <t>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t>
  </si>
  <si>
    <t>Prestar los servicios para el apoyo en el desarrollo de los talleres de educación ambiental en el territorio asignado en el marco del proyecto denominado "Implementación de acciones de Conservación y Restauración de los complejos de Parámo, Bosque Alto Andino de la Región Central.</t>
  </si>
  <si>
    <t>el marco del proyecto denominado "Implementación de acciones de Conservación y Restauración de los complejos de Parámo, Bosque Alto Andino de la Región Central.</t>
  </si>
  <si>
    <t>Adición y prórroga 1 al Cto 116-17 cuyo objeto es "Realizar la Interventoría técnica, administrativa, financiera, económica y legal al contrato para producción e instalación de la señalización para las rutas de biciturismo de acuerdo al plan diseñado por la Región Central"</t>
  </si>
  <si>
    <t>Adición y prórroga 1 al contrato No. 114 cuyo objeto es "Prestar los servicios de operación logística en el marco del programa de competitividad y proyección internacional, de acuerdo con las especificaciones técnicas definidas por la Región Central"</t>
  </si>
  <si>
    <t>CONTRATADO: FENIX MEDIA GROUP LIMITADA CTO 119-17</t>
  </si>
  <si>
    <t>CONTRATADO: INTERNACIONAL DE CAMARAS Y LENTES S.A.S CTO 118-17</t>
  </si>
  <si>
    <t>CONTRATADO: INGEART CV S.A.S CTO 117-17
Se crea en la versión 8 a solicitud de la Dirección Técnica</t>
  </si>
  <si>
    <t>CONTRATADO: MARLY YANIR DAZA ZEA CTO 116-17 
Se crea en la versión 9 a solicitud de la Dirección Técnica</t>
  </si>
  <si>
    <t>CONTRATADO: FUNDACIÓN CULTURAL BALLET FOLCLÓRICO TIERRA COLOMBIANA CTO 115-17</t>
  </si>
  <si>
    <t>CONTRATADO: FUNDACIÓN PARA EL DESARROLLO Y FORTALECIMIENTO TERRITORIAL VISIÓN LOCAL CTO: 114-17
Se crea en la versión 8 a solicitud de la Dirección Técnica</t>
  </si>
  <si>
    <t>CONTRATADO: CPR EMERGENCIAS S.A.S. CTO 113-17</t>
  </si>
  <si>
    <t>CONTRATADO: CANAL REGIONAL  DE TELEVISIÓN TEVEANDINA LTDA – TEVEANDINA LTDA CTO 112-17</t>
  </si>
  <si>
    <t>CONTRATADO: PATRIMONIO NATURAL FONDO PARA LA BIODIVERSIDAD Y AREAS PROTEGIDAS CTO 111-17</t>
  </si>
  <si>
    <t>CONTRATADO: ERIKA VIVIANA CAJICÁ COLLAZOS CTO 110-17</t>
  </si>
  <si>
    <t>CONTRATADO: PANAMERICANA OC 21757</t>
  </si>
  <si>
    <t>Adición y Prórroga del contrato 088-17 cuyo Objeto es "Prestar apoyo administrativo en el proceso de Servicio al Ciudadano y en lo relacionado con el manejo documental del mismo."</t>
  </si>
  <si>
    <t>14 días</t>
  </si>
  <si>
    <t>Adqusición de herramientas físicas para el mantenimiento preventivo y correctivo para las instalaciones de la entidad.</t>
  </si>
  <si>
    <t>al 31 de diciembre 201</t>
  </si>
  <si>
    <t>Adición y Prórroga al contrato 067-2017 cuyo objeto es: "Prestar servicios profesionales para  apoyar los análisis y estudios requeridos  para la estructuración técnica de proyectos de inversión del  Banco de Programas y Proyectos de la Región Central con enfoque ambiental"</t>
  </si>
  <si>
    <t>24 dias</t>
  </si>
  <si>
    <t>(Todas)</t>
  </si>
  <si>
    <t>ESTADO PLAN ANUAL DE ADQUISICIONES 2017 
AL 4 DE DICIEMBRE 2017</t>
  </si>
  <si>
    <t xml:space="preserve">CONTRATADO: CAROL VANESSA GARZÓN CUBILLOS </t>
  </si>
  <si>
    <t xml:space="preserve">CONTRATADO: MAIRA ALEJANDRA CTO 072-17 </t>
  </si>
  <si>
    <t>VERSIÓN: 17 del 06 de diciembre de 2017</t>
  </si>
  <si>
    <t>Adición y Prórroga al contrato No. 78 de 2017 cuyo objeto es "Prestar servicios profesionales para apoyar las actividades relacionadas con los procesos de agronegocios para el desarrollo del Sistema de compras institucionales"</t>
  </si>
  <si>
    <t>22 días</t>
  </si>
  <si>
    <t>ADICIÓN: CARLOS ANDRÉS GUERRERO CTO 78-17</t>
  </si>
  <si>
    <t>OLGA LUCÍA LOPEZ MORA
olopez@regioncentralrape.gov.co
Directora Administrativa y Financiera con asignación de funciones
Región Central - RAPE 
Se modifican los Procesos 20, 39, 134 y 154
Versión 17 del 6 de diciembre de 2017 
Elaboró: Edwin Andrés Clavijo - Profesional de apoyo Dirección Corporativa</t>
  </si>
  <si>
    <t>CONTRATADO: FUNDACIÓN PROYECCIÓN SOCIAL Y AMBIENTAL CTO 112-2017</t>
  </si>
  <si>
    <t>CONTRATADO: JHONNY HIGUERA CTO 120-2017</t>
  </si>
  <si>
    <t>CONTRATADO: CONTROLES EMPRESARIALES OC 22625
Se crea en la versión 8 a solucitud de la Dirección Corporativa</t>
  </si>
  <si>
    <t>CONTRATADO: CONTROLES EMPRESARIALES OC 22625</t>
  </si>
  <si>
    <t>ADICIONADO:  EDGAR OVIEDO VARGAS CTO 030-2017</t>
  </si>
  <si>
    <t>ADICIONADO: YEYMER JAVIER COCUNUBO BUITRAGO CTO 071-17</t>
  </si>
  <si>
    <t>ADICIONADO: CESAR VILLABONA CTO 076-17</t>
  </si>
  <si>
    <t>ADICIONADO: CAMILO ANDRES PINEDA LÓPEZ CTO 67-17</t>
  </si>
  <si>
    <t>ADICIONADO: COLSUBSIDIO CTO 064-2017
Se crea en la versión 8 a solucitud de la Dirección Corporativa
Se modifica en la vesrión 9 a solcitud de la DC</t>
  </si>
  <si>
    <t xml:space="preserve">Total En proceso </t>
  </si>
  <si>
    <t>ESTADO PLAN ANUAL DE ADQUISICIONES 2017 
AL 13 DE DICIEMBRE 2017</t>
  </si>
  <si>
    <t>ADICIONADO: PUIN CTO 094-2017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</si>
</sst>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3" formatCode="_-* #,##0.00_-;\-* #,##0.00_-;_-* &quot;-&quot;??_-;_-@_-"/>
    <numFmt numFmtId="164" formatCode="_-* #,##0_-;\-* #,##0_-;_-* &quot;-&quot;??_-;_-@_-"/>
    <numFmt numFmtId="165" formatCode="dd/mm/yyyy;@"/>
    <numFmt numFmtId="166" formatCode="#,##0_ ;\-#,##0\ "/>
    <numFmt numFmtId="167" formatCode="0.0%"/>
  </numFmts>
  <fonts count="32"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6"/>
      <color theme="1"/>
      <name val="Calibri"/>
      <family val="2"/>
      <scheme val="minor"/>
    </font>
    <font>
      <b/>
      <sz val="26"/>
      <color theme="1"/>
      <name val="Calibri"/>
      <family val="2"/>
      <scheme val="minor"/>
    </font>
    <font>
      <sz val="26"/>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1"/>
      <color rgb="FF000000"/>
      <name val="Calibri"/>
      <family val="2"/>
    </font>
    <font>
      <sz val="10"/>
      <name val="Calibri Light"/>
      <family val="2"/>
      <scheme val="major"/>
    </font>
    <font>
      <sz val="9"/>
      <color theme="1"/>
      <name val="Arial"/>
      <family val="2"/>
    </font>
    <font>
      <b/>
      <sz val="20"/>
      <color theme="1"/>
      <name val="Arial"/>
      <family val="2"/>
    </font>
    <font>
      <sz val="20"/>
      <color theme="1"/>
      <name val="Arial"/>
      <family val="2"/>
    </font>
    <font>
      <b/>
      <sz val="22"/>
      <name val="Trebuchet MS"/>
      <family val="2"/>
    </font>
    <font>
      <sz val="22"/>
      <color theme="1"/>
      <name val="Arial"/>
      <family val="2"/>
    </font>
    <font>
      <sz val="22"/>
      <name val="Trebuchet MS"/>
      <family val="2"/>
    </font>
    <font>
      <b/>
      <sz val="22"/>
      <color theme="0"/>
      <name val="Trebuchet MS"/>
      <family val="2"/>
    </font>
    <font>
      <sz val="22"/>
      <name val="Calibri"/>
      <family val="2"/>
      <scheme val="minor"/>
    </font>
    <font>
      <b/>
      <sz val="26"/>
      <name val="Trebuchet MS"/>
      <family val="2"/>
    </font>
    <font>
      <sz val="26"/>
      <name val="Trebuchet MS"/>
      <family val="2"/>
    </font>
    <font>
      <b/>
      <sz val="12"/>
      <color theme="1"/>
      <name val="Calibri"/>
      <family val="2"/>
      <scheme val="minor"/>
    </font>
    <font>
      <sz val="22"/>
      <color rgb="FFFF0000"/>
      <name val="Trebuchet MS"/>
      <family val="2"/>
    </font>
    <font>
      <b/>
      <sz val="22"/>
      <color theme="1"/>
      <name val="Calibri"/>
      <family val="2"/>
      <scheme val="minor"/>
    </font>
    <font>
      <sz val="22"/>
      <color theme="1"/>
      <name val="Calibri"/>
      <family val="2"/>
      <scheme val="minor"/>
    </font>
    <font>
      <b/>
      <sz val="15"/>
      <color theme="1"/>
      <name val="Calibri"/>
      <family val="2"/>
      <scheme val="minor"/>
    </font>
    <font>
      <sz val="15"/>
      <color theme="1"/>
      <name val="Calibri"/>
      <family val="2"/>
      <scheme val="minor"/>
    </font>
    <font>
      <sz val="12"/>
      <color theme="1"/>
      <name val="Calibri"/>
      <family val="2"/>
      <scheme val="minor"/>
    </font>
    <font>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s>
  <borders count="87">
    <border>
      <left/>
      <right/>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style="hair">
        <color auto="1"/>
      </right>
      <top style="hair">
        <color auto="1"/>
      </top>
      <bottom style="hair">
        <color auto="1"/>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style="hair">
        <color auto="1"/>
      </top>
      <bottom/>
      <diagonal/>
    </border>
    <border>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
      <left style="double">
        <color auto="1"/>
      </left>
      <right style="hair">
        <color auto="1"/>
      </right>
      <top/>
      <bottom/>
      <diagonal/>
    </border>
    <border>
      <left style="double">
        <color auto="1"/>
      </left>
      <right/>
      <top style="hair">
        <color auto="1"/>
      </top>
      <bottom/>
      <diagonal/>
    </border>
    <border>
      <left style="double">
        <color auto="1"/>
      </left>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auto="1"/>
      </right>
      <top style="hair">
        <color auto="1"/>
      </top>
      <bottom style="double">
        <color auto="1"/>
      </bottom>
      <diagonal/>
    </border>
    <border>
      <left/>
      <right/>
      <top style="double">
        <color indexed="64"/>
      </top>
      <bottom/>
      <diagonal/>
    </border>
    <border>
      <left/>
      <right/>
      <top/>
      <bottom style="double">
        <color indexed="64"/>
      </bottom>
      <diagonal/>
    </border>
    <border>
      <left/>
      <right/>
      <top style="thin">
        <color theme="4" tint="0.39997558519241921"/>
      </top>
      <bottom/>
      <diagonal/>
    </border>
    <border>
      <left/>
      <right style="hair">
        <color auto="1"/>
      </right>
      <top style="double">
        <color auto="1"/>
      </top>
      <bottom style="hair">
        <color auto="1"/>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theme="4" tint="0.39997558519241921"/>
      </bottom>
      <diagonal/>
    </border>
    <border>
      <left/>
      <right/>
      <top/>
      <bottom style="thin">
        <color theme="4"/>
      </bottom>
      <diagonal/>
    </border>
    <border>
      <left/>
      <right/>
      <top style="thin">
        <color theme="4"/>
      </top>
      <bottom/>
      <diagonal/>
    </border>
    <border>
      <left style="hair">
        <color auto="1"/>
      </left>
      <right style="hair">
        <color auto="1"/>
      </right>
      <top style="double">
        <color auto="1"/>
      </top>
      <bottom/>
      <diagonal/>
    </border>
    <border>
      <left style="hair">
        <color auto="1"/>
      </left>
      <right style="double">
        <color auto="1"/>
      </right>
      <top/>
      <bottom/>
      <diagonal/>
    </border>
    <border>
      <left/>
      <right/>
      <top style="thin">
        <color theme="4"/>
      </top>
      <bottom style="thin">
        <color theme="4"/>
      </bottom>
      <diagonal/>
    </border>
    <border>
      <left style="double">
        <color theme="4"/>
      </left>
      <right/>
      <top style="double">
        <color theme="4"/>
      </top>
      <bottom style="thin">
        <color theme="4"/>
      </bottom>
      <diagonal/>
    </border>
    <border>
      <left/>
      <right/>
      <top style="double">
        <color theme="4"/>
      </top>
      <bottom style="thin">
        <color theme="4"/>
      </bottom>
      <diagonal/>
    </border>
    <border>
      <left/>
      <right style="double">
        <color theme="4"/>
      </right>
      <top style="double">
        <color theme="4"/>
      </top>
      <bottom style="thin">
        <color theme="4"/>
      </bottom>
      <diagonal/>
    </border>
    <border>
      <left style="double">
        <color theme="4"/>
      </left>
      <right/>
      <top style="thin">
        <color theme="4"/>
      </top>
      <bottom style="thin">
        <color theme="4"/>
      </bottom>
      <diagonal/>
    </border>
    <border>
      <left/>
      <right style="double">
        <color theme="4"/>
      </right>
      <top style="thin">
        <color theme="4"/>
      </top>
      <bottom style="thin">
        <color theme="4"/>
      </bottom>
      <diagonal/>
    </border>
    <border>
      <left style="double">
        <color theme="4"/>
      </left>
      <right/>
      <top style="thin">
        <color theme="4" tint="0.39997558519241921"/>
      </top>
      <bottom style="double">
        <color theme="4"/>
      </bottom>
      <diagonal/>
    </border>
    <border>
      <left/>
      <right/>
      <top style="thin">
        <color theme="4" tint="0.39997558519241921"/>
      </top>
      <bottom style="double">
        <color theme="4"/>
      </bottom>
      <diagonal/>
    </border>
    <border>
      <left/>
      <right style="double">
        <color theme="4"/>
      </right>
      <top style="thin">
        <color theme="4" tint="0.39997558519241921"/>
      </top>
      <bottom style="double">
        <color theme="4"/>
      </bottom>
      <diagonal/>
    </border>
    <border>
      <left style="thin">
        <color theme="4"/>
      </left>
      <right style="thin">
        <color theme="4"/>
      </right>
      <top style="thin">
        <color theme="4"/>
      </top>
      <bottom style="thin">
        <color theme="4"/>
      </bottom>
      <diagonal/>
    </border>
    <border>
      <left style="thin">
        <color theme="4"/>
      </left>
      <right style="double">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double">
        <color theme="4"/>
      </left>
      <right style="thin">
        <color theme="4"/>
      </right>
      <top style="thin">
        <color theme="4"/>
      </top>
      <bottom/>
      <diagonal/>
    </border>
    <border>
      <left style="double">
        <color theme="4"/>
      </left>
      <right style="thin">
        <color theme="4"/>
      </right>
      <top/>
      <bottom/>
      <diagonal/>
    </border>
    <border>
      <left style="double">
        <color theme="4"/>
      </left>
      <right style="thin">
        <color theme="4"/>
      </right>
      <top/>
      <bottom style="thin">
        <color theme="4"/>
      </bottom>
      <diagonal/>
    </border>
    <border>
      <left style="double">
        <color auto="1"/>
      </left>
      <right style="hair">
        <color auto="1"/>
      </right>
      <top style="double">
        <color auto="1"/>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41" fontId="2" fillId="0" borderId="0" applyFont="0" applyFill="0" applyBorder="0" applyAlignment="0" applyProtection="0"/>
  </cellStyleXfs>
  <cellXfs count="568">
    <xf numFmtId="0" fontId="0" fillId="0" borderId="0" xfId="0"/>
    <xf numFmtId="42" fontId="0" fillId="0" borderId="0" xfId="3" applyFont="1"/>
    <xf numFmtId="0" fontId="0" fillId="0" borderId="0" xfId="0" pivotButton="1"/>
    <xf numFmtId="0" fontId="0" fillId="0" borderId="0" xfId="0" applyNumberFormat="1"/>
    <xf numFmtId="0" fontId="0" fillId="0" borderId="0" xfId="0" applyAlignment="1">
      <alignment wrapText="1"/>
    </xf>
    <xf numFmtId="0" fontId="0" fillId="0" borderId="0" xfId="0" pivotButton="1" applyAlignment="1">
      <alignment wrapText="1"/>
    </xf>
    <xf numFmtId="42" fontId="0" fillId="0" borderId="0" xfId="3"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28" xfId="0" applyBorder="1" applyAlignment="1">
      <alignment vertical="center"/>
    </xf>
    <xf numFmtId="0" fontId="0" fillId="0" borderId="38" xfId="0" applyBorder="1" applyAlignment="1">
      <alignment vertical="center"/>
    </xf>
    <xf numFmtId="0" fontId="0" fillId="0" borderId="38" xfId="0" applyBorder="1" applyAlignment="1">
      <alignment vertical="center" wrapText="1"/>
    </xf>
    <xf numFmtId="0" fontId="0" fillId="0" borderId="28" xfId="0" applyBorder="1" applyAlignment="1">
      <alignment vertical="center" wrapText="1"/>
    </xf>
    <xf numFmtId="0" fontId="1" fillId="7" borderId="52" xfId="0" applyFont="1" applyFill="1" applyBorder="1" applyAlignment="1">
      <alignment horizontal="center" vertical="center" wrapText="1"/>
    </xf>
    <xf numFmtId="0" fontId="1" fillId="7" borderId="53" xfId="0" applyFont="1" applyFill="1" applyBorder="1" applyAlignment="1">
      <alignment horizontal="center" vertical="center" wrapText="1"/>
    </xf>
    <xf numFmtId="0" fontId="1" fillId="7" borderId="54" xfId="0" applyFont="1" applyFill="1" applyBorder="1" applyAlignment="1">
      <alignment horizontal="center" vertical="center" wrapText="1"/>
    </xf>
    <xf numFmtId="0" fontId="0" fillId="0" borderId="0" xfId="0" applyBorder="1"/>
    <xf numFmtId="0" fontId="5" fillId="0" borderId="0" xfId="0" applyFont="1"/>
    <xf numFmtId="0" fontId="8" fillId="0" borderId="0" xfId="0" applyFont="1"/>
    <xf numFmtId="0" fontId="8" fillId="0" borderId="0" xfId="0" applyFont="1" applyAlignment="1">
      <alignment wrapText="1"/>
    </xf>
    <xf numFmtId="0" fontId="8" fillId="0" borderId="0" xfId="0" applyFont="1" applyAlignment="1">
      <alignment horizontal="center" wrapText="1"/>
    </xf>
    <xf numFmtId="42" fontId="8" fillId="0" borderId="0" xfId="3" applyFont="1" applyAlignment="1">
      <alignment vertical="center" wrapText="1"/>
    </xf>
    <xf numFmtId="42" fontId="8" fillId="0" borderId="0" xfId="3" applyFont="1" applyAlignment="1">
      <alignment wrapText="1"/>
    </xf>
    <xf numFmtId="0" fontId="9" fillId="2" borderId="11" xfId="0" applyFont="1" applyFill="1" applyBorder="1" applyAlignment="1">
      <alignment horizontal="center"/>
    </xf>
    <xf numFmtId="0" fontId="10" fillId="2" borderId="0" xfId="0" applyFont="1" applyFill="1"/>
    <xf numFmtId="0" fontId="9" fillId="2" borderId="11" xfId="0" applyFont="1" applyFill="1" applyBorder="1"/>
    <xf numFmtId="0" fontId="11" fillId="2" borderId="12" xfId="0" applyFont="1" applyFill="1" applyBorder="1" applyAlignment="1">
      <alignment vertical="center" wrapText="1"/>
    </xf>
    <xf numFmtId="0" fontId="10" fillId="2" borderId="12" xfId="0" applyFont="1" applyFill="1" applyBorder="1"/>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0" fillId="2" borderId="13" xfId="0" applyFont="1" applyFill="1" applyBorder="1"/>
    <xf numFmtId="0" fontId="13" fillId="2" borderId="12" xfId="0" applyFont="1" applyFill="1" applyBorder="1" applyAlignment="1">
      <alignment horizontal="left" vertical="center" wrapText="1"/>
    </xf>
    <xf numFmtId="0" fontId="13" fillId="2" borderId="12" xfId="0" applyFont="1" applyFill="1" applyBorder="1" applyAlignment="1" applyProtection="1">
      <alignment horizontal="left" vertical="center" wrapText="1"/>
      <protection locked="0"/>
    </xf>
    <xf numFmtId="9" fontId="13" fillId="2" borderId="12" xfId="2" applyFont="1" applyFill="1" applyBorder="1" applyAlignment="1">
      <alignment horizontal="left" vertical="center" wrapText="1"/>
    </xf>
    <xf numFmtId="0" fontId="13" fillId="2" borderId="13" xfId="0" applyFont="1" applyFill="1" applyBorder="1" applyAlignment="1">
      <alignment horizontal="left" vertical="center" wrapText="1"/>
    </xf>
    <xf numFmtId="0" fontId="14" fillId="0" borderId="0" xfId="0" applyFont="1" applyFill="1" applyAlignment="1">
      <alignment vertical="center" wrapText="1"/>
    </xf>
    <xf numFmtId="0" fontId="17" fillId="0" borderId="49" xfId="0" applyFont="1" applyFill="1" applyBorder="1" applyAlignment="1">
      <alignment horizontal="right" vertical="center" wrapText="1"/>
    </xf>
    <xf numFmtId="0" fontId="17" fillId="0" borderId="50" xfId="0" applyFont="1" applyFill="1" applyBorder="1" applyAlignment="1">
      <alignment vertical="center" wrapText="1"/>
    </xf>
    <xf numFmtId="0" fontId="17" fillId="0" borderId="51" xfId="0" applyFont="1" applyFill="1" applyBorder="1" applyAlignment="1">
      <alignment horizontal="left" vertical="center" wrapText="1"/>
    </xf>
    <xf numFmtId="0" fontId="18" fillId="0" borderId="0" xfId="0" applyFont="1" applyFill="1" applyAlignment="1">
      <alignment vertical="center" wrapText="1"/>
    </xf>
    <xf numFmtId="0" fontId="19" fillId="0" borderId="0" xfId="0" applyFont="1" applyFill="1" applyBorder="1" applyAlignment="1">
      <alignment horizontal="center"/>
    </xf>
    <xf numFmtId="0" fontId="19" fillId="0" borderId="0" xfId="0" applyFont="1" applyFill="1" applyBorder="1" applyAlignment="1">
      <alignment horizontal="left" wrapText="1"/>
    </xf>
    <xf numFmtId="0" fontId="19" fillId="0" borderId="0" xfId="0" applyFont="1" applyFill="1" applyBorder="1" applyAlignment="1">
      <alignment vertical="center" wrapText="1"/>
    </xf>
    <xf numFmtId="42" fontId="19" fillId="0" borderId="0" xfId="3" applyFont="1" applyFill="1" applyBorder="1" applyAlignment="1">
      <alignment vertical="center"/>
    </xf>
    <xf numFmtId="0" fontId="19" fillId="0" borderId="0" xfId="0" applyFont="1" applyFill="1" applyBorder="1" applyAlignment="1">
      <alignment horizontal="center" vertical="center"/>
    </xf>
    <xf numFmtId="3" fontId="19" fillId="0" borderId="0" xfId="0" applyNumberFormat="1" applyFont="1" applyFill="1" applyBorder="1" applyAlignment="1">
      <alignment vertical="center"/>
    </xf>
    <xf numFmtId="0" fontId="19" fillId="0" borderId="0" xfId="0" applyFont="1" applyFill="1" applyBorder="1" applyAlignment="1">
      <alignment horizontal="center" vertical="center" wrapText="1"/>
    </xf>
    <xf numFmtId="165"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xf numFmtId="0" fontId="20" fillId="8" borderId="42" xfId="0" applyFont="1" applyFill="1" applyBorder="1" applyAlignment="1">
      <alignment horizontal="center" vertical="center" wrapText="1"/>
    </xf>
    <xf numFmtId="0" fontId="20" fillId="8" borderId="43" xfId="0" applyFont="1" applyFill="1" applyBorder="1" applyAlignment="1">
      <alignment horizontal="center" vertical="center" wrapText="1"/>
    </xf>
    <xf numFmtId="0" fontId="20" fillId="8" borderId="4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9" fillId="2" borderId="0" xfId="0" applyFont="1" applyFill="1" applyBorder="1" applyAlignment="1">
      <alignment horizont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20" xfId="0" applyFont="1" applyFill="1" applyBorder="1" applyAlignment="1">
      <alignment horizontal="justify" vertical="center" wrapText="1"/>
    </xf>
    <xf numFmtId="3" fontId="19" fillId="0" borderId="20" xfId="1" applyNumberFormat="1" applyFont="1" applyFill="1" applyBorder="1" applyAlignment="1">
      <alignment vertical="center"/>
    </xf>
    <xf numFmtId="3" fontId="19" fillId="0" borderId="20" xfId="0" applyNumberFormat="1" applyFont="1" applyFill="1" applyBorder="1" applyAlignment="1">
      <alignment horizontal="center" vertical="center" wrapText="1"/>
    </xf>
    <xf numFmtId="165" fontId="19" fillId="0" borderId="20" xfId="0" applyNumberFormat="1" applyFont="1" applyFill="1" applyBorder="1" applyAlignment="1">
      <alignment horizontal="center" vertical="center"/>
    </xf>
    <xf numFmtId="14" fontId="19" fillId="0" borderId="20" xfId="0" applyNumberFormat="1" applyFont="1" applyFill="1" applyBorder="1" applyAlignment="1">
      <alignment horizontal="center" vertical="center"/>
    </xf>
    <xf numFmtId="0" fontId="19" fillId="0" borderId="21" xfId="0" applyFont="1" applyFill="1" applyBorder="1" applyAlignment="1">
      <alignment horizontal="justify" vertical="center" wrapText="1"/>
    </xf>
    <xf numFmtId="3" fontId="19" fillId="2" borderId="3" xfId="0"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0" fontId="19" fillId="2" borderId="0" xfId="0" applyFont="1" applyFill="1" applyBorder="1"/>
    <xf numFmtId="0" fontId="19" fillId="2" borderId="0" xfId="0" applyFont="1" applyFill="1" applyBorder="1" applyAlignment="1">
      <alignment vertical="center"/>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5" xfId="0" applyFont="1" applyFill="1" applyBorder="1" applyAlignment="1">
      <alignment horizontal="justify" vertical="center" wrapText="1"/>
    </xf>
    <xf numFmtId="3" fontId="19" fillId="0" borderId="5" xfId="1" applyNumberFormat="1" applyFont="1" applyFill="1" applyBorder="1" applyAlignment="1">
      <alignment vertical="center"/>
    </xf>
    <xf numFmtId="3" fontId="19" fillId="0" borderId="5" xfId="0" applyNumberFormat="1" applyFont="1" applyFill="1" applyBorder="1" applyAlignment="1">
      <alignment horizontal="center" vertical="center" wrapText="1"/>
    </xf>
    <xf numFmtId="165" fontId="19" fillId="0" borderId="5" xfId="0" applyNumberFormat="1" applyFont="1" applyFill="1" applyBorder="1" applyAlignment="1">
      <alignment horizontal="center" vertical="center"/>
    </xf>
    <xf numFmtId="14" fontId="19" fillId="0" borderId="5" xfId="0" applyNumberFormat="1" applyFont="1" applyFill="1" applyBorder="1" applyAlignment="1">
      <alignment horizontal="center" vertical="center"/>
    </xf>
    <xf numFmtId="0" fontId="19" fillId="0" borderId="6" xfId="0" applyFont="1" applyFill="1" applyBorder="1" applyAlignment="1">
      <alignment horizontal="justify" vertical="center" wrapText="1"/>
    </xf>
    <xf numFmtId="0" fontId="19" fillId="2" borderId="4" xfId="0" applyNumberFormat="1" applyFont="1" applyFill="1" applyBorder="1" applyAlignment="1">
      <alignment horizontal="center" vertical="center" wrapText="1" shrinkToFit="1"/>
    </xf>
    <xf numFmtId="3" fontId="19" fillId="2" borderId="5" xfId="0" applyNumberFormat="1" applyFont="1" applyFill="1" applyBorder="1" applyAlignment="1">
      <alignment horizontal="right" vertical="center" wrapText="1"/>
    </xf>
    <xf numFmtId="3" fontId="19" fillId="2" borderId="6" xfId="0" applyNumberFormat="1" applyFont="1" applyFill="1" applyBorder="1" applyAlignment="1">
      <alignment horizontal="right" vertical="center" wrapText="1"/>
    </xf>
    <xf numFmtId="3" fontId="19" fillId="2" borderId="5" xfId="0" applyNumberFormat="1" applyFont="1" applyFill="1" applyBorder="1" applyAlignment="1">
      <alignment horizontal="right" vertical="center" wrapText="1" shrinkToFit="1"/>
    </xf>
    <xf numFmtId="3" fontId="19" fillId="2" borderId="6" xfId="0" applyNumberFormat="1" applyFont="1" applyFill="1" applyBorder="1" applyAlignment="1">
      <alignment horizontal="right" vertical="center" wrapText="1" shrinkToFit="1"/>
    </xf>
    <xf numFmtId="3" fontId="19" fillId="2" borderId="0" xfId="0" applyNumberFormat="1" applyFont="1" applyFill="1" applyBorder="1" applyAlignment="1">
      <alignment horizontal="right" vertical="center" wrapText="1" shrinkToFit="1"/>
    </xf>
    <xf numFmtId="0" fontId="19" fillId="2" borderId="0" xfId="0" applyNumberFormat="1" applyFont="1" applyFill="1" applyBorder="1" applyAlignment="1">
      <alignment wrapText="1" shrinkToFit="1"/>
    </xf>
    <xf numFmtId="0" fontId="19" fillId="2" borderId="0" xfId="0" applyNumberFormat="1" applyFont="1" applyFill="1" applyBorder="1" applyAlignment="1">
      <alignment vertical="center" wrapText="1" shrinkToFit="1"/>
    </xf>
    <xf numFmtId="0" fontId="19" fillId="0" borderId="5" xfId="0" applyFont="1" applyFill="1" applyBorder="1" applyAlignment="1">
      <alignment horizontal="center" vertical="center"/>
    </xf>
    <xf numFmtId="0" fontId="19" fillId="5" borderId="4" xfId="0" applyNumberFormat="1" applyFont="1" applyFill="1" applyBorder="1" applyAlignment="1">
      <alignment horizontal="center" vertical="center" wrapText="1" shrinkToFit="1"/>
    </xf>
    <xf numFmtId="3" fontId="19" fillId="5" borderId="5" xfId="0" applyNumberFormat="1" applyFont="1" applyFill="1" applyBorder="1" applyAlignment="1">
      <alignment horizontal="right" vertical="center" wrapText="1" shrinkToFit="1"/>
    </xf>
    <xf numFmtId="0" fontId="19" fillId="0" borderId="22"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7" xfId="0" applyFont="1" applyFill="1" applyBorder="1" applyAlignment="1">
      <alignment horizontal="justify" vertical="center" wrapText="1"/>
    </xf>
    <xf numFmtId="3" fontId="19" fillId="0" borderId="17" xfId="1" applyNumberFormat="1" applyFont="1" applyFill="1" applyBorder="1" applyAlignment="1">
      <alignment vertical="center"/>
    </xf>
    <xf numFmtId="3" fontId="19" fillId="0" borderId="17" xfId="0" applyNumberFormat="1" applyFont="1" applyFill="1" applyBorder="1" applyAlignment="1">
      <alignment horizontal="center" vertical="center" wrapText="1"/>
    </xf>
    <xf numFmtId="0" fontId="19" fillId="0" borderId="17" xfId="0" applyFont="1" applyFill="1" applyBorder="1" applyAlignment="1">
      <alignment horizontal="center" vertical="center"/>
    </xf>
    <xf numFmtId="165" fontId="19" fillId="0" borderId="17" xfId="0" applyNumberFormat="1" applyFont="1" applyFill="1" applyBorder="1" applyAlignment="1">
      <alignment horizontal="center" vertical="center"/>
    </xf>
    <xf numFmtId="14" fontId="19" fillId="0" borderId="17" xfId="0" applyNumberFormat="1" applyFont="1" applyFill="1" applyBorder="1" applyAlignment="1">
      <alignment horizontal="center" vertical="center"/>
    </xf>
    <xf numFmtId="0" fontId="19" fillId="0" borderId="18" xfId="0" applyFont="1" applyFill="1" applyBorder="1" applyAlignment="1">
      <alignment horizontal="justify" vertical="center" wrapText="1"/>
    </xf>
    <xf numFmtId="0" fontId="19" fillId="2" borderId="22" xfId="0" applyNumberFormat="1" applyFont="1" applyFill="1" applyBorder="1" applyAlignment="1">
      <alignment horizontal="center" vertical="center" wrapText="1" shrinkToFit="1"/>
    </xf>
    <xf numFmtId="3" fontId="19" fillId="2" borderId="17" xfId="0" applyNumberFormat="1" applyFont="1" applyFill="1" applyBorder="1" applyAlignment="1">
      <alignment horizontal="right" vertical="center" wrapText="1" shrinkToFit="1"/>
    </xf>
    <xf numFmtId="3" fontId="19" fillId="2" borderId="18" xfId="0" applyNumberFormat="1" applyFont="1" applyFill="1" applyBorder="1" applyAlignment="1">
      <alignment horizontal="right" vertical="center" wrapText="1" shrinkToFit="1"/>
    </xf>
    <xf numFmtId="0" fontId="19" fillId="5" borderId="10" xfId="0" applyNumberFormat="1" applyFont="1" applyFill="1" applyBorder="1" applyAlignment="1">
      <alignment horizontal="center" vertical="center" wrapText="1" shrinkToFit="1"/>
    </xf>
    <xf numFmtId="0" fontId="19" fillId="2" borderId="10" xfId="0" applyNumberFormat="1" applyFont="1" applyFill="1" applyBorder="1" applyAlignment="1">
      <alignment horizontal="center" vertical="center" wrapText="1" shrinkToFit="1"/>
    </xf>
    <xf numFmtId="3" fontId="19" fillId="0" borderId="5" xfId="0" applyNumberFormat="1" applyFont="1" applyFill="1" applyBorder="1" applyAlignment="1">
      <alignment horizontal="right" vertical="center" wrapText="1" shrinkToFit="1"/>
    </xf>
    <xf numFmtId="0" fontId="19" fillId="2" borderId="23" xfId="0" applyNumberFormat="1" applyFont="1" applyFill="1" applyBorder="1" applyAlignment="1">
      <alignment horizontal="center" vertical="center" wrapText="1" shrinkToFi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3" fontId="19" fillId="0" borderId="8" xfId="1" applyNumberFormat="1" applyFont="1" applyFill="1" applyBorder="1" applyAlignment="1">
      <alignment vertical="center"/>
    </xf>
    <xf numFmtId="3" fontId="19" fillId="0" borderId="8" xfId="0" applyNumberFormat="1" applyFont="1" applyFill="1" applyBorder="1" applyAlignment="1">
      <alignment horizontal="center" vertical="center" wrapText="1"/>
    </xf>
    <xf numFmtId="165" fontId="19" fillId="0" borderId="8" xfId="0" applyNumberFormat="1" applyFont="1" applyFill="1" applyBorder="1" applyAlignment="1">
      <alignment horizontal="center" vertical="center"/>
    </xf>
    <xf numFmtId="14" fontId="19" fillId="0" borderId="8" xfId="0" applyNumberFormat="1" applyFont="1" applyFill="1" applyBorder="1" applyAlignment="1">
      <alignment horizontal="center" vertical="center"/>
    </xf>
    <xf numFmtId="0" fontId="19" fillId="0" borderId="9" xfId="0" applyFont="1" applyFill="1" applyBorder="1" applyAlignment="1">
      <alignment horizontal="justify" vertical="center" wrapText="1"/>
    </xf>
    <xf numFmtId="0" fontId="19" fillId="5" borderId="7" xfId="0" applyNumberFormat="1" applyFont="1" applyFill="1" applyBorder="1" applyAlignment="1">
      <alignment horizontal="center" vertical="center" wrapText="1" shrinkToFit="1"/>
    </xf>
    <xf numFmtId="3" fontId="19" fillId="5" borderId="8" xfId="0" applyNumberFormat="1" applyFont="1" applyFill="1" applyBorder="1" applyAlignment="1">
      <alignment horizontal="right" vertical="center" wrapText="1" shrinkToFit="1"/>
    </xf>
    <xf numFmtId="3" fontId="19" fillId="2" borderId="9" xfId="0" applyNumberFormat="1" applyFont="1" applyFill="1" applyBorder="1" applyAlignment="1">
      <alignment horizontal="right" vertical="center" wrapText="1" shrinkToFit="1"/>
    </xf>
    <xf numFmtId="3" fontId="19" fillId="0" borderId="20" xfId="1" applyNumberFormat="1" applyFont="1" applyFill="1" applyBorder="1" applyAlignment="1">
      <alignment horizontal="right" vertical="center"/>
    </xf>
    <xf numFmtId="0" fontId="19" fillId="0" borderId="20" xfId="0" applyNumberFormat="1" applyFont="1" applyFill="1" applyBorder="1" applyAlignment="1">
      <alignment horizontal="center" vertical="center" wrapText="1" shrinkToFi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xf>
    <xf numFmtId="0" fontId="19" fillId="5" borderId="19" xfId="0" applyNumberFormat="1" applyFont="1" applyFill="1" applyBorder="1" applyAlignment="1">
      <alignment horizontal="center" vertical="center" wrapText="1" shrinkToFit="1"/>
    </xf>
    <xf numFmtId="3" fontId="19" fillId="5" borderId="20" xfId="0" applyNumberFormat="1" applyFont="1" applyFill="1" applyBorder="1" applyAlignment="1">
      <alignment horizontal="right" vertical="center" wrapText="1" shrinkToFit="1"/>
    </xf>
    <xf numFmtId="3" fontId="19" fillId="2" borderId="21" xfId="0" applyNumberFormat="1" applyFont="1" applyFill="1" applyBorder="1" applyAlignment="1">
      <alignment horizontal="right" vertical="center" wrapText="1" shrinkToFit="1"/>
    </xf>
    <xf numFmtId="0" fontId="19" fillId="0" borderId="20" xfId="0" applyFont="1" applyFill="1" applyBorder="1" applyAlignment="1">
      <alignment horizontal="center" vertical="center"/>
    </xf>
    <xf numFmtId="3" fontId="19" fillId="0" borderId="5" xfId="1" applyNumberFormat="1" applyFont="1" applyFill="1" applyBorder="1" applyAlignment="1">
      <alignment horizontal="right" vertical="center"/>
    </xf>
    <xf numFmtId="0" fontId="19" fillId="0" borderId="5" xfId="0" applyNumberFormat="1" applyFont="1" applyFill="1" applyBorder="1" applyAlignment="1">
      <alignment horizontal="center" vertical="center" wrapText="1" shrinkToFit="1"/>
    </xf>
    <xf numFmtId="165" fontId="19" fillId="0" borderId="17" xfId="0" applyNumberFormat="1" applyFont="1" applyFill="1" applyBorder="1" applyAlignment="1">
      <alignment horizontal="center" vertical="center" wrapText="1"/>
    </xf>
    <xf numFmtId="0" fontId="19" fillId="0" borderId="5" xfId="0" applyNumberFormat="1" applyFont="1" applyFill="1" applyBorder="1" applyAlignment="1">
      <alignment horizontal="justify" vertical="center" wrapText="1"/>
    </xf>
    <xf numFmtId="0" fontId="19" fillId="0" borderId="30" xfId="0" applyFont="1" applyFill="1" applyBorder="1" applyAlignment="1">
      <alignment horizontal="center" vertical="center" wrapText="1"/>
    </xf>
    <xf numFmtId="0" fontId="19" fillId="0" borderId="17" xfId="0" applyNumberFormat="1" applyFont="1" applyFill="1" applyBorder="1" applyAlignment="1">
      <alignment horizontal="justify" vertical="center" wrapText="1"/>
    </xf>
    <xf numFmtId="0" fontId="19" fillId="0" borderId="17" xfId="0" applyNumberFormat="1" applyFont="1" applyFill="1" applyBorder="1" applyAlignment="1">
      <alignment horizontal="center" vertical="center" wrapText="1" shrinkToFit="1"/>
    </xf>
    <xf numFmtId="0" fontId="19" fillId="0" borderId="25" xfId="0"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26" xfId="0" applyFont="1" applyFill="1" applyBorder="1" applyAlignment="1">
      <alignment horizontal="justify" vertical="center" wrapText="1"/>
    </xf>
    <xf numFmtId="14" fontId="19" fillId="0" borderId="29" xfId="0" applyNumberFormat="1" applyFont="1" applyFill="1" applyBorder="1" applyAlignment="1">
      <alignment horizontal="center" vertical="center"/>
    </xf>
    <xf numFmtId="0" fontId="19" fillId="2" borderId="19" xfId="0" applyNumberFormat="1" applyFont="1" applyFill="1" applyBorder="1" applyAlignment="1">
      <alignment horizontal="center" vertical="center" wrapText="1" shrinkToFit="1"/>
    </xf>
    <xf numFmtId="3" fontId="19" fillId="2" borderId="20" xfId="0" applyNumberFormat="1" applyFont="1" applyFill="1" applyBorder="1" applyAlignment="1">
      <alignment horizontal="right" vertical="center" wrapText="1" shrinkToFit="1"/>
    </xf>
    <xf numFmtId="0" fontId="21" fillId="0" borderId="17" xfId="0" applyFont="1" applyFill="1" applyBorder="1" applyAlignment="1">
      <alignment vertical="center" wrapText="1"/>
    </xf>
    <xf numFmtId="0" fontId="19" fillId="0" borderId="8" xfId="0" applyFont="1" applyFill="1" applyBorder="1" applyAlignment="1">
      <alignment horizontal="justify" vertical="center" wrapText="1"/>
    </xf>
    <xf numFmtId="9" fontId="19" fillId="0" borderId="5" xfId="2" applyFont="1" applyFill="1" applyBorder="1" applyAlignment="1">
      <alignment horizontal="center" vertical="center" wrapText="1"/>
    </xf>
    <xf numFmtId="3" fontId="19" fillId="0" borderId="20" xfId="0" applyNumberFormat="1" applyFont="1" applyFill="1" applyBorder="1" applyAlignment="1">
      <alignment vertical="center"/>
    </xf>
    <xf numFmtId="0" fontId="19" fillId="0" borderId="21" xfId="0" applyNumberFormat="1" applyFont="1" applyFill="1" applyBorder="1" applyAlignment="1">
      <alignment horizontal="justify" vertical="center" wrapText="1"/>
    </xf>
    <xf numFmtId="3" fontId="19" fillId="0" borderId="5" xfId="0" applyNumberFormat="1" applyFont="1" applyFill="1" applyBorder="1" applyAlignment="1">
      <alignment vertical="center"/>
    </xf>
    <xf numFmtId="165" fontId="19" fillId="0" borderId="5" xfId="0" applyNumberFormat="1" applyFont="1" applyFill="1" applyBorder="1" applyAlignment="1">
      <alignment horizontal="center" vertical="center" wrapText="1"/>
    </xf>
    <xf numFmtId="9" fontId="19" fillId="0" borderId="20" xfId="2" applyFont="1" applyFill="1" applyBorder="1" applyAlignment="1">
      <alignment horizontal="center" vertical="center" wrapText="1"/>
    </xf>
    <xf numFmtId="0" fontId="19" fillId="0" borderId="4" xfId="0" applyNumberFormat="1" applyFont="1" applyFill="1" applyBorder="1" applyAlignment="1">
      <alignment horizontal="center" vertical="center" wrapText="1" shrinkToFit="1"/>
    </xf>
    <xf numFmtId="9" fontId="19" fillId="0" borderId="17" xfId="2" applyFont="1" applyFill="1" applyBorder="1" applyAlignment="1">
      <alignment horizontal="center" vertical="center" wrapText="1"/>
    </xf>
    <xf numFmtId="0" fontId="19" fillId="0" borderId="20" xfId="0" applyFont="1" applyFill="1" applyBorder="1" applyAlignment="1">
      <alignment horizontal="justify" vertical="top" wrapText="1"/>
    </xf>
    <xf numFmtId="0" fontId="19" fillId="0" borderId="22" xfId="0" applyFont="1" applyFill="1" applyBorder="1" applyAlignment="1">
      <alignment horizontal="center" vertical="center"/>
    </xf>
    <xf numFmtId="0" fontId="19" fillId="0" borderId="5" xfId="0" applyFont="1" applyFill="1" applyBorder="1" applyAlignment="1">
      <alignment horizontal="justify" vertical="top" wrapText="1"/>
    </xf>
    <xf numFmtId="3" fontId="19" fillId="5" borderId="17" xfId="0" applyNumberFormat="1" applyFont="1" applyFill="1" applyBorder="1" applyAlignment="1">
      <alignment horizontal="right" vertical="center" wrapText="1" shrinkToFit="1"/>
    </xf>
    <xf numFmtId="0" fontId="19" fillId="0" borderId="8" xfId="0" applyNumberFormat="1" applyFont="1" applyFill="1" applyBorder="1" applyAlignment="1">
      <alignment horizontal="center" vertical="center" wrapText="1" shrinkToFit="1"/>
    </xf>
    <xf numFmtId="0" fontId="19" fillId="0" borderId="27" xfId="0" applyFont="1" applyFill="1" applyBorder="1" applyAlignment="1">
      <alignment horizontal="center" vertical="center" wrapText="1"/>
    </xf>
    <xf numFmtId="0" fontId="19" fillId="0" borderId="27" xfId="0" applyFont="1" applyFill="1" applyBorder="1" applyAlignment="1">
      <alignment horizontal="left" vertical="center" wrapText="1"/>
    </xf>
    <xf numFmtId="0" fontId="19" fillId="0" borderId="20" xfId="0" applyNumberFormat="1" applyFont="1" applyFill="1" applyBorder="1" applyAlignment="1">
      <alignment horizontal="justify" vertical="center" wrapText="1"/>
    </xf>
    <xf numFmtId="0" fontId="19" fillId="0" borderId="20" xfId="0" applyNumberFormat="1" applyFont="1" applyFill="1" applyBorder="1" applyAlignment="1">
      <alignment horizontal="center" vertical="center" wrapText="1"/>
    </xf>
    <xf numFmtId="0" fontId="19" fillId="5" borderId="19" xfId="0" applyNumberFormat="1" applyFont="1" applyFill="1" applyBorder="1" applyAlignment="1">
      <alignment horizontal="center" vertical="center" wrapText="1"/>
    </xf>
    <xf numFmtId="3" fontId="19" fillId="5" borderId="20" xfId="0" applyNumberFormat="1" applyFont="1" applyFill="1" applyBorder="1" applyAlignment="1">
      <alignment horizontal="right" vertical="center" wrapText="1"/>
    </xf>
    <xf numFmtId="3" fontId="19" fillId="2" borderId="21" xfId="0" applyNumberFormat="1" applyFont="1" applyFill="1" applyBorder="1" applyAlignment="1">
      <alignment horizontal="right" vertical="center" wrapText="1"/>
    </xf>
    <xf numFmtId="0" fontId="19" fillId="2" borderId="0" xfId="0" applyNumberFormat="1" applyFont="1" applyFill="1" applyBorder="1" applyAlignment="1"/>
    <xf numFmtId="0" fontId="19" fillId="0" borderId="10" xfId="0"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19" fillId="5" borderId="4" xfId="0" applyNumberFormat="1" applyFont="1" applyFill="1" applyBorder="1" applyAlignment="1">
      <alignment horizontal="center" vertical="center" wrapText="1"/>
    </xf>
    <xf numFmtId="3" fontId="19" fillId="5" borderId="5" xfId="0" applyNumberFormat="1" applyFont="1" applyFill="1" applyBorder="1" applyAlignment="1">
      <alignment horizontal="right" vertical="center" wrapText="1"/>
    </xf>
    <xf numFmtId="3" fontId="19" fillId="0" borderId="5" xfId="0" applyNumberFormat="1" applyFont="1" applyFill="1" applyBorder="1" applyAlignment="1">
      <alignment horizontal="right" vertical="center" wrapText="1"/>
    </xf>
    <xf numFmtId="0" fontId="19" fillId="2" borderId="0" xfId="0" applyNumberFormat="1" applyFont="1" applyFill="1" applyBorder="1" applyAlignment="1">
      <alignment vertical="center"/>
    </xf>
    <xf numFmtId="0" fontId="19" fillId="2" borderId="4"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3" fontId="19" fillId="0" borderId="5" xfId="1" applyNumberFormat="1" applyFont="1" applyFill="1" applyBorder="1" applyAlignment="1">
      <alignment vertical="center" wrapText="1"/>
    </xf>
    <xf numFmtId="14" fontId="19" fillId="0" borderId="5" xfId="0" applyNumberFormat="1"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2" borderId="0" xfId="0" applyFont="1" applyFill="1" applyBorder="1" applyAlignment="1">
      <alignment wrapText="1"/>
    </xf>
    <xf numFmtId="0" fontId="19" fillId="2" borderId="0" xfId="0" applyFont="1" applyFill="1" applyBorder="1" applyAlignment="1">
      <alignment vertical="center" wrapText="1"/>
    </xf>
    <xf numFmtId="3" fontId="19" fillId="0" borderId="29" xfId="0" applyNumberFormat="1" applyFont="1" applyFill="1" applyBorder="1" applyAlignment="1">
      <alignment horizontal="right" vertical="center" wrapText="1"/>
    </xf>
    <xf numFmtId="0" fontId="19" fillId="0" borderId="29" xfId="0" applyFont="1" applyFill="1" applyBorder="1" applyAlignment="1">
      <alignment horizontal="center" vertical="center" wrapText="1"/>
    </xf>
    <xf numFmtId="165" fontId="19" fillId="0" borderId="29" xfId="0" applyNumberFormat="1" applyFont="1" applyFill="1" applyBorder="1" applyAlignment="1">
      <alignment horizontal="center" vertical="center" wrapText="1"/>
    </xf>
    <xf numFmtId="3" fontId="19" fillId="2" borderId="17" xfId="0" applyNumberFormat="1" applyFont="1" applyFill="1" applyBorder="1" applyAlignment="1">
      <alignment horizontal="right" vertical="center" wrapText="1"/>
    </xf>
    <xf numFmtId="3" fontId="19" fillId="2" borderId="18" xfId="0" applyNumberFormat="1" applyFont="1" applyFill="1" applyBorder="1" applyAlignment="1">
      <alignment horizontal="right" vertical="center" wrapText="1"/>
    </xf>
    <xf numFmtId="0" fontId="19" fillId="0" borderId="23" xfId="0" applyFont="1" applyFill="1" applyBorder="1" applyAlignment="1">
      <alignment horizontal="center" vertical="center" wrapText="1"/>
    </xf>
    <xf numFmtId="3" fontId="19" fillId="0" borderId="17" xfId="0" applyNumberFormat="1" applyFont="1" applyFill="1" applyBorder="1" applyAlignment="1">
      <alignment horizontal="right" vertical="center" wrapText="1"/>
    </xf>
    <xf numFmtId="0" fontId="19" fillId="5" borderId="10" xfId="0" applyFont="1" applyFill="1" applyBorder="1" applyAlignment="1">
      <alignment horizontal="center" vertical="center" wrapText="1"/>
    </xf>
    <xf numFmtId="0" fontId="19" fillId="5" borderId="23" xfId="0" applyFont="1" applyFill="1" applyBorder="1" applyAlignment="1">
      <alignment horizontal="center" vertical="center" wrapText="1"/>
    </xf>
    <xf numFmtId="3" fontId="19" fillId="5" borderId="17" xfId="0" applyNumberFormat="1" applyFont="1" applyFill="1" applyBorder="1" applyAlignment="1">
      <alignment horizontal="right" vertical="center" wrapText="1"/>
    </xf>
    <xf numFmtId="0" fontId="19" fillId="2" borderId="10" xfId="0" applyFont="1" applyFill="1" applyBorder="1" applyAlignment="1">
      <alignment horizontal="center" vertical="center" wrapText="1"/>
    </xf>
    <xf numFmtId="3" fontId="19" fillId="0" borderId="17" xfId="1" applyNumberFormat="1" applyFont="1" applyFill="1" applyBorder="1" applyAlignment="1">
      <alignment vertical="center" wrapText="1"/>
    </xf>
    <xf numFmtId="14" fontId="19" fillId="0" borderId="17" xfId="0" applyNumberFormat="1" applyFont="1" applyFill="1" applyBorder="1" applyAlignment="1">
      <alignment horizontal="center" vertical="center" wrapText="1"/>
    </xf>
    <xf numFmtId="0" fontId="19" fillId="2" borderId="22" xfId="0" applyFont="1" applyFill="1" applyBorder="1" applyAlignment="1">
      <alignment horizontal="center" vertical="center" wrapText="1"/>
    </xf>
    <xf numFmtId="3" fontId="19" fillId="2" borderId="9" xfId="0" applyNumberFormat="1" applyFont="1" applyFill="1" applyBorder="1" applyAlignment="1">
      <alignment vertical="center"/>
    </xf>
    <xf numFmtId="0" fontId="19" fillId="5" borderId="19" xfId="0" applyFont="1" applyFill="1" applyBorder="1" applyAlignment="1">
      <alignment horizontal="center" vertical="center" wrapText="1"/>
    </xf>
    <xf numFmtId="0" fontId="19" fillId="0" borderId="10" xfId="0" applyFont="1" applyFill="1" applyBorder="1" applyAlignment="1">
      <alignment horizontal="left" vertical="center" wrapText="1"/>
    </xf>
    <xf numFmtId="3" fontId="19" fillId="0" borderId="6" xfId="0" applyNumberFormat="1" applyFont="1" applyFill="1" applyBorder="1" applyAlignment="1">
      <alignment horizontal="right" vertical="center" wrapText="1"/>
    </xf>
    <xf numFmtId="0" fontId="19" fillId="0" borderId="10" xfId="0" applyFont="1" applyFill="1" applyBorder="1" applyAlignment="1">
      <alignment horizontal="justify" vertical="center" wrapText="1"/>
    </xf>
    <xf numFmtId="3" fontId="19" fillId="0" borderId="5" xfId="1" applyNumberFormat="1" applyFont="1" applyFill="1" applyBorder="1" applyAlignment="1">
      <alignment horizontal="center" vertical="center"/>
    </xf>
    <xf numFmtId="3" fontId="19" fillId="3" borderId="6" xfId="0" applyNumberFormat="1" applyFont="1" applyFill="1" applyBorder="1" applyAlignment="1">
      <alignment horizontal="right" vertical="center" wrapText="1" shrinkToFit="1"/>
    </xf>
    <xf numFmtId="3" fontId="19" fillId="0" borderId="6" xfId="0" applyNumberFormat="1" applyFont="1" applyFill="1" applyBorder="1" applyAlignment="1">
      <alignment horizontal="right" vertical="center" wrapText="1" shrinkToFit="1"/>
    </xf>
    <xf numFmtId="3" fontId="19" fillId="0" borderId="0" xfId="0" applyNumberFormat="1" applyFont="1" applyFill="1" applyBorder="1" applyAlignment="1">
      <alignment horizontal="right" vertical="center" wrapText="1" shrinkToFit="1"/>
    </xf>
    <xf numFmtId="41" fontId="19" fillId="0" borderId="5" xfId="4" applyFont="1" applyFill="1" applyBorder="1" applyAlignment="1">
      <alignment horizontal="right" vertical="center" wrapText="1"/>
    </xf>
    <xf numFmtId="3" fontId="19" fillId="0" borderId="5" xfId="1" applyNumberFormat="1" applyFont="1" applyFill="1" applyBorder="1" applyAlignment="1">
      <alignment horizontal="center" vertical="center" wrapText="1"/>
    </xf>
    <xf numFmtId="0" fontId="19" fillId="0" borderId="22" xfId="0" applyNumberFormat="1" applyFont="1" applyFill="1" applyBorder="1" applyAlignment="1">
      <alignment horizontal="center" vertical="center" wrapText="1" shrinkToFit="1"/>
    </xf>
    <xf numFmtId="3" fontId="19" fillId="0" borderId="17" xfId="0" applyNumberFormat="1" applyFont="1" applyFill="1" applyBorder="1" applyAlignment="1">
      <alignment horizontal="right" vertical="center" wrapText="1" shrinkToFit="1"/>
    </xf>
    <xf numFmtId="3" fontId="19" fillId="0" borderId="18" xfId="0" applyNumberFormat="1" applyFont="1" applyFill="1" applyBorder="1" applyAlignment="1">
      <alignment horizontal="right" vertical="center" wrapText="1" shrinkToFit="1"/>
    </xf>
    <xf numFmtId="0" fontId="19" fillId="0" borderId="4" xfId="0" applyFont="1" applyFill="1" applyBorder="1" applyAlignment="1">
      <alignment horizontal="center" vertical="center"/>
    </xf>
    <xf numFmtId="0" fontId="19" fillId="0" borderId="5" xfId="0" applyFont="1" applyFill="1" applyBorder="1" applyAlignment="1">
      <alignment vertical="center" wrapText="1"/>
    </xf>
    <xf numFmtId="166" fontId="19" fillId="0" borderId="5" xfId="1" applyNumberFormat="1" applyFont="1" applyFill="1" applyBorder="1" applyAlignment="1">
      <alignment vertical="center"/>
    </xf>
    <xf numFmtId="0" fontId="19" fillId="3" borderId="6" xfId="0" applyFont="1" applyFill="1" applyBorder="1" applyAlignment="1">
      <alignment horizontal="right" vertical="center" wrapText="1"/>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5" xfId="0" applyFont="1" applyFill="1" applyBorder="1" applyAlignment="1">
      <alignment vertical="center" wrapText="1"/>
    </xf>
    <xf numFmtId="166" fontId="19" fillId="0" borderId="25" xfId="1" applyNumberFormat="1" applyFont="1" applyFill="1" applyBorder="1" applyAlignment="1">
      <alignment vertical="center"/>
    </xf>
    <xf numFmtId="3" fontId="19" fillId="0" borderId="25" xfId="0" applyNumberFormat="1" applyFont="1" applyFill="1" applyBorder="1" applyAlignment="1">
      <alignment vertical="center"/>
    </xf>
    <xf numFmtId="165" fontId="19" fillId="0" borderId="25" xfId="0" applyNumberFormat="1" applyFont="1" applyFill="1" applyBorder="1" applyAlignment="1">
      <alignment horizontal="center" vertical="center"/>
    </xf>
    <xf numFmtId="14" fontId="19" fillId="0" borderId="25" xfId="0" applyNumberFormat="1" applyFont="1" applyFill="1" applyBorder="1" applyAlignment="1">
      <alignment horizontal="center" vertical="center"/>
    </xf>
    <xf numFmtId="3" fontId="19" fillId="3" borderId="9" xfId="0" applyNumberFormat="1" applyFont="1" applyFill="1" applyBorder="1" applyAlignment="1">
      <alignment horizontal="right" vertical="center" wrapText="1" shrinkToFit="1"/>
    </xf>
    <xf numFmtId="0" fontId="19" fillId="0" borderId="1"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2" xfId="0" applyFont="1" applyFill="1" applyBorder="1" applyAlignment="1">
      <alignment vertical="center" wrapText="1"/>
    </xf>
    <xf numFmtId="166" fontId="19" fillId="0" borderId="2" xfId="1" applyNumberFormat="1" applyFont="1" applyFill="1" applyBorder="1" applyAlignment="1">
      <alignment vertical="center"/>
    </xf>
    <xf numFmtId="0" fontId="19" fillId="0" borderId="2" xfId="0" applyFont="1" applyFill="1" applyBorder="1" applyAlignment="1">
      <alignment horizontal="center" vertical="center"/>
    </xf>
    <xf numFmtId="3" fontId="19" fillId="0" borderId="2" xfId="0" applyNumberFormat="1" applyFont="1" applyFill="1" applyBorder="1" applyAlignment="1">
      <alignment vertical="center"/>
    </xf>
    <xf numFmtId="165" fontId="19" fillId="0" borderId="2" xfId="0" applyNumberFormat="1" applyFont="1" applyFill="1" applyBorder="1" applyAlignment="1">
      <alignment horizontal="center" vertical="center"/>
    </xf>
    <xf numFmtId="0" fontId="19" fillId="0" borderId="3" xfId="0" applyFont="1" applyFill="1" applyBorder="1" applyAlignment="1">
      <alignment horizontal="justify" vertical="center" wrapText="1"/>
    </xf>
    <xf numFmtId="0" fontId="19" fillId="0" borderId="1" xfId="0" applyNumberFormat="1" applyFont="1" applyFill="1" applyBorder="1" applyAlignment="1">
      <alignment horizontal="center" vertical="center" wrapText="1" shrinkToFit="1"/>
    </xf>
    <xf numFmtId="3" fontId="19" fillId="0" borderId="2" xfId="0" applyNumberFormat="1" applyFont="1" applyFill="1" applyBorder="1" applyAlignment="1">
      <alignment horizontal="right" vertical="center" wrapText="1" shrinkToFit="1"/>
    </xf>
    <xf numFmtId="3" fontId="19" fillId="0" borderId="3" xfId="0" applyNumberFormat="1" applyFont="1" applyFill="1" applyBorder="1" applyAlignment="1">
      <alignment horizontal="right" vertical="center" wrapText="1"/>
    </xf>
    <xf numFmtId="0" fontId="19" fillId="0" borderId="7" xfId="0" applyFont="1" applyFill="1" applyBorder="1" applyAlignment="1">
      <alignment horizontal="center" vertical="center"/>
    </xf>
    <xf numFmtId="0" fontId="19" fillId="0" borderId="8" xfId="0" applyFont="1" applyFill="1" applyBorder="1" applyAlignment="1">
      <alignment vertical="center" wrapText="1"/>
    </xf>
    <xf numFmtId="0" fontId="19" fillId="0" borderId="7" xfId="0" applyNumberFormat="1" applyFont="1" applyFill="1" applyBorder="1" applyAlignment="1">
      <alignment horizontal="center" vertical="center" wrapText="1" shrinkToFit="1"/>
    </xf>
    <xf numFmtId="3" fontId="19" fillId="0" borderId="8" xfId="0" applyNumberFormat="1" applyFont="1" applyFill="1" applyBorder="1" applyAlignment="1">
      <alignment horizontal="right" vertical="center" wrapText="1" shrinkToFit="1"/>
    </xf>
    <xf numFmtId="3" fontId="19" fillId="0" borderId="9"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164" fontId="19" fillId="0" borderId="0" xfId="1" applyNumberFormat="1" applyFont="1" applyFill="1" applyBorder="1" applyAlignment="1">
      <alignment vertical="center"/>
    </xf>
    <xf numFmtId="167" fontId="17" fillId="2" borderId="0" xfId="2" applyNumberFormat="1" applyFont="1" applyFill="1" applyBorder="1" applyAlignment="1">
      <alignment horizontal="center" vertical="center" wrapText="1"/>
    </xf>
    <xf numFmtId="3" fontId="17" fillId="0" borderId="0" xfId="0" applyNumberFormat="1" applyFont="1" applyFill="1" applyBorder="1" applyAlignment="1">
      <alignment horizontal="right" vertical="center" wrapText="1"/>
    </xf>
    <xf numFmtId="164" fontId="19" fillId="0" borderId="0" xfId="0" applyNumberFormat="1" applyFont="1" applyFill="1" applyBorder="1" applyAlignment="1">
      <alignment horizontal="center" vertical="center"/>
    </xf>
    <xf numFmtId="0" fontId="19" fillId="2" borderId="0" xfId="0" applyFont="1" applyFill="1" applyBorder="1" applyAlignment="1">
      <alignment horizontal="right" vertical="center" wrapText="1"/>
    </xf>
    <xf numFmtId="41" fontId="19" fillId="0" borderId="0" xfId="4" applyFont="1" applyFill="1" applyBorder="1" applyAlignment="1">
      <alignment vertical="center" wrapText="1"/>
    </xf>
    <xf numFmtId="0" fontId="19" fillId="0" borderId="17" xfId="0" applyFont="1" applyFill="1" applyBorder="1" applyAlignment="1">
      <alignment vertical="center" wrapText="1"/>
    </xf>
    <xf numFmtId="41" fontId="19" fillId="0" borderId="17" xfId="4" applyFont="1" applyFill="1" applyBorder="1" applyAlignment="1">
      <alignment vertical="center"/>
    </xf>
    <xf numFmtId="0" fontId="19" fillId="0" borderId="18" xfId="0" applyFont="1" applyFill="1" applyBorder="1" applyAlignment="1">
      <alignment vertical="center" wrapText="1"/>
    </xf>
    <xf numFmtId="3" fontId="19" fillId="2" borderId="18" xfId="0" applyNumberFormat="1" applyFont="1" applyFill="1" applyBorder="1" applyAlignment="1">
      <alignment vertical="center"/>
    </xf>
    <xf numFmtId="3" fontId="19" fillId="0" borderId="0" xfId="0" applyNumberFormat="1" applyFont="1" applyFill="1" applyBorder="1" applyAlignment="1">
      <alignment horizontal="right" vertical="center" wrapText="1"/>
    </xf>
    <xf numFmtId="0" fontId="1" fillId="9" borderId="64" xfId="0" applyFont="1" applyFill="1" applyBorder="1"/>
    <xf numFmtId="0" fontId="1" fillId="9" borderId="58" xfId="0" applyFont="1" applyFill="1" applyBorder="1" applyAlignment="1">
      <alignment wrapText="1"/>
    </xf>
    <xf numFmtId="0" fontId="1" fillId="9" borderId="58" xfId="0" applyNumberFormat="1" applyFont="1" applyFill="1" applyBorder="1"/>
    <xf numFmtId="0" fontId="1" fillId="0" borderId="0" xfId="0" applyFont="1" applyAlignment="1">
      <alignment wrapText="1"/>
    </xf>
    <xf numFmtId="0" fontId="1" fillId="0" borderId="64" xfId="0" applyFont="1" applyBorder="1" applyAlignment="1">
      <alignment horizontal="center" wrapText="1"/>
    </xf>
    <xf numFmtId="42" fontId="1" fillId="7" borderId="53" xfId="3" applyFont="1" applyFill="1" applyBorder="1" applyAlignment="1">
      <alignment horizontal="center" vertical="center" wrapText="1"/>
    </xf>
    <xf numFmtId="42" fontId="1" fillId="9" borderId="58" xfId="3" applyFont="1" applyFill="1" applyBorder="1" applyAlignment="1">
      <alignment wrapText="1"/>
    </xf>
    <xf numFmtId="0" fontId="1" fillId="0" borderId="0" xfId="0" applyFont="1" applyAlignment="1">
      <alignment vertical="center"/>
    </xf>
    <xf numFmtId="0" fontId="1" fillId="9" borderId="58" xfId="0" applyFont="1" applyFill="1" applyBorder="1" applyAlignment="1">
      <alignment vertical="center" wrapText="1"/>
    </xf>
    <xf numFmtId="0" fontId="1" fillId="0" borderId="64" xfId="0" applyFont="1" applyBorder="1" applyAlignment="1">
      <alignment horizontal="center" vertical="center" wrapText="1"/>
    </xf>
    <xf numFmtId="0" fontId="0" fillId="0" borderId="0" xfId="0" applyAlignment="1">
      <alignment horizontal="center"/>
    </xf>
    <xf numFmtId="42" fontId="0" fillId="0" borderId="0" xfId="0" applyNumberFormat="1"/>
    <xf numFmtId="0" fontId="1" fillId="7" borderId="53" xfId="0" applyFont="1" applyFill="1" applyBorder="1" applyAlignment="1">
      <alignment horizontal="left" vertical="center" wrapText="1"/>
    </xf>
    <xf numFmtId="0" fontId="1" fillId="0" borderId="0" xfId="0" applyFont="1" applyAlignment="1">
      <alignment vertical="center" wrapText="1"/>
    </xf>
    <xf numFmtId="42" fontId="1" fillId="9" borderId="58" xfId="3" applyFont="1" applyFill="1" applyBorder="1" applyAlignment="1">
      <alignment vertical="center" wrapText="1"/>
    </xf>
    <xf numFmtId="0" fontId="1" fillId="0" borderId="0" xfId="0" applyFont="1" applyAlignment="1">
      <alignment horizontal="left" vertical="center" wrapText="1"/>
    </xf>
    <xf numFmtId="0" fontId="1" fillId="9" borderId="58" xfId="0" applyFont="1" applyFill="1" applyBorder="1" applyAlignment="1">
      <alignment horizontal="left" vertical="center" wrapText="1"/>
    </xf>
    <xf numFmtId="0" fontId="0" fillId="0" borderId="0" xfId="0" applyAlignment="1">
      <alignment horizontal="left" vertical="center" wrapText="1"/>
    </xf>
    <xf numFmtId="42" fontId="5" fillId="10" borderId="57" xfId="3" applyFont="1" applyFill="1" applyBorder="1" applyAlignment="1">
      <alignment vertical="center"/>
    </xf>
    <xf numFmtId="0" fontId="0" fillId="0" borderId="0" xfId="0" applyAlignment="1">
      <alignment horizontal="right" vertical="center"/>
    </xf>
    <xf numFmtId="0" fontId="1" fillId="9" borderId="58" xfId="0" applyFont="1" applyFill="1" applyBorder="1" applyAlignment="1">
      <alignment horizontal="right" vertical="center" wrapText="1"/>
    </xf>
    <xf numFmtId="0" fontId="0" fillId="0" borderId="0" xfId="0" applyAlignment="1">
      <alignment vertical="top" wrapText="1"/>
    </xf>
    <xf numFmtId="0" fontId="1" fillId="0" borderId="0" xfId="0" applyFont="1" applyAlignment="1">
      <alignment vertical="top" wrapText="1"/>
    </xf>
    <xf numFmtId="42" fontId="5" fillId="10" borderId="62" xfId="3" applyFont="1" applyFill="1" applyBorder="1" applyAlignment="1">
      <alignment vertical="top" wrapText="1"/>
    </xf>
    <xf numFmtId="0" fontId="1" fillId="9" borderId="58" xfId="0" applyFont="1" applyFill="1" applyBorder="1" applyAlignment="1">
      <alignment vertical="top" wrapText="1"/>
    </xf>
    <xf numFmtId="0" fontId="0" fillId="0" borderId="0" xfId="0" applyNumberFormat="1" applyAlignment="1">
      <alignment horizontal="center"/>
    </xf>
    <xf numFmtId="41" fontId="1" fillId="10" borderId="63" xfId="4" applyFont="1" applyFill="1" applyBorder="1" applyAlignment="1">
      <alignment horizontal="center" vertical="center"/>
    </xf>
    <xf numFmtId="0" fontId="1" fillId="9" borderId="58" xfId="0" applyNumberFormat="1" applyFont="1" applyFill="1" applyBorder="1" applyAlignment="1">
      <alignment horizontal="center"/>
    </xf>
    <xf numFmtId="0" fontId="19" fillId="6" borderId="0" xfId="0" applyFont="1" applyFill="1" applyBorder="1" applyAlignment="1">
      <alignment vertical="center"/>
    </xf>
    <xf numFmtId="0" fontId="19" fillId="6" borderId="0" xfId="0" applyNumberFormat="1" applyFont="1" applyFill="1" applyBorder="1" applyAlignment="1">
      <alignment vertical="center" wrapText="1" shrinkToFit="1"/>
    </xf>
    <xf numFmtId="3" fontId="25" fillId="5" borderId="5" xfId="0" applyNumberFormat="1" applyFont="1" applyFill="1" applyBorder="1" applyAlignment="1">
      <alignment horizontal="right" vertical="center" wrapText="1" shrinkToFit="1"/>
    </xf>
    <xf numFmtId="41" fontId="19" fillId="0" borderId="0" xfId="4" applyFont="1" applyFill="1" applyBorder="1" applyAlignment="1">
      <alignment horizontal="right" vertical="center" wrapText="1"/>
    </xf>
    <xf numFmtId="0" fontId="0" fillId="0" borderId="28" xfId="0" applyBorder="1"/>
    <xf numFmtId="0" fontId="0" fillId="0" borderId="28" xfId="0" applyBorder="1" applyAlignment="1">
      <alignment wrapText="1"/>
    </xf>
    <xf numFmtId="3" fontId="0" fillId="0" borderId="28" xfId="0" applyNumberFormat="1" applyBorder="1" applyAlignment="1">
      <alignment vertical="center"/>
    </xf>
    <xf numFmtId="3" fontId="0" fillId="0" borderId="28" xfId="0" applyNumberFormat="1" applyBorder="1"/>
    <xf numFmtId="41" fontId="0" fillId="0" borderId="28" xfId="4" applyFont="1" applyBorder="1"/>
    <xf numFmtId="3" fontId="1" fillId="3" borderId="28" xfId="0" applyNumberFormat="1" applyFont="1" applyFill="1" applyBorder="1"/>
    <xf numFmtId="0" fontId="1" fillId="11" borderId="28" xfId="0" applyFont="1" applyFill="1" applyBorder="1" applyAlignment="1">
      <alignment horizontal="center"/>
    </xf>
    <xf numFmtId="0" fontId="0" fillId="0" borderId="0" xfId="0" applyAlignment="1"/>
    <xf numFmtId="0" fontId="1" fillId="11" borderId="28" xfId="0" applyFont="1" applyFill="1" applyBorder="1" applyAlignment="1">
      <alignment horizontal="center" wrapText="1"/>
    </xf>
    <xf numFmtId="0" fontId="1" fillId="3" borderId="28" xfId="0" applyFont="1" applyFill="1" applyBorder="1" applyAlignment="1">
      <alignment wrapText="1"/>
    </xf>
    <xf numFmtId="0" fontId="1" fillId="0" borderId="28" xfId="0" applyFont="1" applyBorder="1" applyAlignment="1">
      <alignment horizontal="center" wrapText="1"/>
    </xf>
    <xf numFmtId="0" fontId="0" fillId="0" borderId="35" xfId="0" applyBorder="1"/>
    <xf numFmtId="42" fontId="0" fillId="0" borderId="36" xfId="3" applyFont="1" applyBorder="1"/>
    <xf numFmtId="0" fontId="0" fillId="0" borderId="36" xfId="0" applyBorder="1"/>
    <xf numFmtId="42" fontId="0" fillId="6" borderId="36" xfId="0" applyNumberFormat="1" applyFill="1" applyBorder="1"/>
    <xf numFmtId="0" fontId="0" fillId="0" borderId="37" xfId="0" applyBorder="1"/>
    <xf numFmtId="0" fontId="0" fillId="0" borderId="40" xfId="0" applyBorder="1"/>
    <xf numFmtId="0" fontId="0" fillId="0" borderId="41" xfId="0" applyBorder="1"/>
    <xf numFmtId="42" fontId="0" fillId="6" borderId="0" xfId="0" applyNumberFormat="1" applyFill="1" applyBorder="1"/>
    <xf numFmtId="0" fontId="0" fillId="0" borderId="46" xfId="0" applyBorder="1"/>
    <xf numFmtId="0" fontId="0" fillId="0" borderId="47" xfId="0" applyBorder="1"/>
    <xf numFmtId="42" fontId="0" fillId="6" borderId="47" xfId="0" applyNumberFormat="1" applyFill="1" applyBorder="1"/>
    <xf numFmtId="0" fontId="0" fillId="0" borderId="48" xfId="0" applyBorder="1"/>
    <xf numFmtId="42" fontId="0" fillId="0" borderId="37" xfId="0" applyNumberFormat="1" applyBorder="1"/>
    <xf numFmtId="42" fontId="0" fillId="6" borderId="0" xfId="3" applyFont="1" applyFill="1" applyBorder="1"/>
    <xf numFmtId="42" fontId="0" fillId="0" borderId="0" xfId="0" applyNumberFormat="1" applyBorder="1"/>
    <xf numFmtId="42" fontId="0" fillId="0" borderId="47" xfId="0" applyNumberFormat="1" applyBorder="1"/>
    <xf numFmtId="0" fontId="0" fillId="0" borderId="49" xfId="0" applyBorder="1"/>
    <xf numFmtId="42" fontId="0" fillId="0" borderId="50" xfId="3" applyFont="1" applyBorder="1"/>
    <xf numFmtId="0" fontId="0" fillId="0" borderId="50" xfId="0" applyBorder="1"/>
    <xf numFmtId="0" fontId="0" fillId="0" borderId="51" xfId="0" applyBorder="1"/>
    <xf numFmtId="42" fontId="0" fillId="0" borderId="37" xfId="3" applyFont="1" applyBorder="1"/>
    <xf numFmtId="42" fontId="0" fillId="0" borderId="41" xfId="3" applyFont="1" applyBorder="1"/>
    <xf numFmtId="42" fontId="0" fillId="0" borderId="48" xfId="3" applyFont="1" applyBorder="1"/>
    <xf numFmtId="42" fontId="0" fillId="0" borderId="51" xfId="3" applyFont="1" applyBorder="1"/>
    <xf numFmtId="42" fontId="0" fillId="0" borderId="0" xfId="3" applyFont="1" applyBorder="1"/>
    <xf numFmtId="0" fontId="19" fillId="5" borderId="7" xfId="0" applyNumberFormat="1" applyFont="1" applyFill="1" applyBorder="1" applyAlignment="1">
      <alignment horizontal="center" vertical="center" wrapText="1"/>
    </xf>
    <xf numFmtId="3" fontId="19" fillId="5" borderId="8" xfId="0" applyNumberFormat="1" applyFont="1" applyFill="1" applyBorder="1" applyAlignment="1">
      <alignment horizontal="right" vertical="center" wrapText="1"/>
    </xf>
    <xf numFmtId="0" fontId="19" fillId="2" borderId="22" xfId="0" applyFont="1" applyFill="1" applyBorder="1"/>
    <xf numFmtId="0" fontId="19" fillId="2" borderId="17" xfId="0" applyFont="1" applyFill="1" applyBorder="1"/>
    <xf numFmtId="0" fontId="19" fillId="2" borderId="4" xfId="0" applyFont="1" applyFill="1" applyBorder="1"/>
    <xf numFmtId="42" fontId="8" fillId="0" borderId="0" xfId="3" applyFont="1"/>
    <xf numFmtId="0" fontId="1" fillId="0" borderId="38" xfId="0" applyFont="1" applyBorder="1" applyAlignment="1">
      <alignment vertical="center" wrapText="1"/>
    </xf>
    <xf numFmtId="0" fontId="1" fillId="0" borderId="38" xfId="0" applyFont="1" applyBorder="1" applyAlignment="1">
      <alignment vertical="center"/>
    </xf>
    <xf numFmtId="0" fontId="1" fillId="0" borderId="38" xfId="0" applyFont="1" applyBorder="1" applyAlignment="1">
      <alignment wrapText="1"/>
    </xf>
    <xf numFmtId="0" fontId="1" fillId="0" borderId="28" xfId="0" applyFont="1" applyBorder="1" applyAlignment="1">
      <alignment vertical="center" wrapText="1"/>
    </xf>
    <xf numFmtId="0" fontId="1" fillId="0" borderId="28" xfId="0" applyFont="1" applyBorder="1" applyAlignment="1">
      <alignment vertical="center"/>
    </xf>
    <xf numFmtId="0" fontId="1" fillId="0" borderId="28" xfId="0" applyFont="1" applyBorder="1" applyAlignment="1">
      <alignment wrapText="1"/>
    </xf>
    <xf numFmtId="0" fontId="1" fillId="0" borderId="39" xfId="0" applyFont="1" applyBorder="1" applyAlignment="1">
      <alignment vertical="center" wrapText="1"/>
    </xf>
    <xf numFmtId="0" fontId="0" fillId="0" borderId="39" xfId="0" applyBorder="1" applyAlignment="1">
      <alignment vertical="center" wrapText="1"/>
    </xf>
    <xf numFmtId="0" fontId="1" fillId="0" borderId="39" xfId="0" applyFont="1" applyBorder="1" applyAlignment="1">
      <alignment vertical="center"/>
    </xf>
    <xf numFmtId="0" fontId="1" fillId="0" borderId="39" xfId="0" applyFont="1" applyBorder="1" applyAlignment="1">
      <alignment wrapText="1"/>
    </xf>
    <xf numFmtId="42" fontId="0" fillId="0" borderId="38" xfId="3" applyFont="1" applyBorder="1" applyAlignment="1">
      <alignment vertical="center"/>
    </xf>
    <xf numFmtId="0" fontId="0" fillId="0" borderId="38" xfId="0" applyNumberFormat="1" applyBorder="1" applyAlignment="1">
      <alignment vertical="center"/>
    </xf>
    <xf numFmtId="42" fontId="0" fillId="0" borderId="28" xfId="3" applyFont="1" applyBorder="1" applyAlignment="1">
      <alignment vertical="center"/>
    </xf>
    <xf numFmtId="0" fontId="0" fillId="0" borderId="28" xfId="0" applyNumberFormat="1" applyBorder="1" applyAlignment="1">
      <alignment vertical="center"/>
    </xf>
    <xf numFmtId="42" fontId="0" fillId="0" borderId="39" xfId="3" applyFont="1" applyBorder="1" applyAlignment="1">
      <alignment vertical="center"/>
    </xf>
    <xf numFmtId="0" fontId="0" fillId="0" borderId="39" xfId="0" applyNumberFormat="1" applyBorder="1" applyAlignment="1">
      <alignment vertical="center"/>
    </xf>
    <xf numFmtId="0" fontId="0" fillId="0" borderId="39" xfId="0" applyBorder="1" applyAlignment="1">
      <alignment vertical="center"/>
    </xf>
    <xf numFmtId="42" fontId="1" fillId="9" borderId="58" xfId="3" applyNumberFormat="1" applyFont="1" applyFill="1" applyBorder="1" applyAlignment="1">
      <alignment vertical="center" wrapText="1"/>
    </xf>
    <xf numFmtId="0" fontId="1" fillId="9" borderId="58" xfId="0" applyNumberFormat="1" applyFont="1" applyFill="1" applyBorder="1" applyAlignment="1">
      <alignment vertical="center"/>
    </xf>
    <xf numFmtId="0" fontId="1" fillId="0" borderId="43" xfId="0" applyFont="1" applyBorder="1" applyAlignment="1">
      <alignment vertical="center" wrapText="1"/>
    </xf>
    <xf numFmtId="0" fontId="0" fillId="0" borderId="43" xfId="0" applyBorder="1" applyAlignment="1">
      <alignment vertical="center" wrapText="1"/>
    </xf>
    <xf numFmtId="0" fontId="1" fillId="0" borderId="43" xfId="0" applyFont="1" applyBorder="1" applyAlignment="1">
      <alignment vertical="center"/>
    </xf>
    <xf numFmtId="0" fontId="0" fillId="0" borderId="43" xfId="0" applyBorder="1" applyAlignment="1">
      <alignment vertical="center"/>
    </xf>
    <xf numFmtId="0" fontId="1" fillId="0" borderId="43" xfId="0" applyFont="1" applyBorder="1" applyAlignment="1">
      <alignment wrapText="1"/>
    </xf>
    <xf numFmtId="42" fontId="0" fillId="0" borderId="43" xfId="3" applyFont="1" applyBorder="1" applyAlignment="1">
      <alignment vertical="center"/>
    </xf>
    <xf numFmtId="0" fontId="0" fillId="0" borderId="43" xfId="0" applyNumberFormat="1" applyBorder="1" applyAlignment="1">
      <alignment vertical="center"/>
    </xf>
    <xf numFmtId="42" fontId="0" fillId="0" borderId="0" xfId="3" applyFont="1" applyAlignment="1">
      <alignment vertical="center" wrapText="1"/>
    </xf>
    <xf numFmtId="42" fontId="0" fillId="0" borderId="38" xfId="3" applyFont="1" applyBorder="1" applyAlignment="1">
      <alignment vertical="center" wrapText="1"/>
    </xf>
    <xf numFmtId="0" fontId="0" fillId="0" borderId="38" xfId="0" applyNumberFormat="1" applyBorder="1" applyAlignment="1">
      <alignment vertical="center" wrapText="1"/>
    </xf>
    <xf numFmtId="42" fontId="0" fillId="0" borderId="28" xfId="3" applyFont="1" applyBorder="1" applyAlignment="1">
      <alignment vertical="center" wrapText="1"/>
    </xf>
    <xf numFmtId="0" fontId="0" fillId="0" borderId="28" xfId="0" applyNumberFormat="1" applyBorder="1" applyAlignment="1">
      <alignment vertical="center" wrapText="1"/>
    </xf>
    <xf numFmtId="42" fontId="0" fillId="0" borderId="39" xfId="3" applyFont="1" applyBorder="1" applyAlignment="1">
      <alignment vertical="center" wrapText="1"/>
    </xf>
    <xf numFmtId="0" fontId="0" fillId="0" borderId="39" xfId="0" applyNumberFormat="1" applyBorder="1" applyAlignment="1">
      <alignment vertical="center" wrapText="1"/>
    </xf>
    <xf numFmtId="3" fontId="0" fillId="0" borderId="0" xfId="0" applyNumberFormat="1"/>
    <xf numFmtId="0" fontId="19" fillId="0" borderId="19" xfId="0" applyNumberFormat="1" applyFont="1" applyFill="1" applyBorder="1" applyAlignment="1">
      <alignment horizontal="center" vertical="center" wrapText="1" shrinkToFit="1"/>
    </xf>
    <xf numFmtId="3" fontId="19" fillId="0" borderId="20" xfId="0" applyNumberFormat="1" applyFont="1" applyFill="1" applyBorder="1" applyAlignment="1">
      <alignment horizontal="right" vertical="center" wrapText="1" shrinkToFit="1"/>
    </xf>
    <xf numFmtId="0" fontId="19" fillId="0" borderId="67" xfId="0" applyFont="1" applyFill="1" applyBorder="1" applyAlignment="1">
      <alignment horizontal="justify" vertical="center" wrapText="1"/>
    </xf>
    <xf numFmtId="0" fontId="19" fillId="0" borderId="29" xfId="0" applyFont="1" applyFill="1" applyBorder="1" applyAlignment="1">
      <alignment horizontal="left" vertical="center" wrapText="1"/>
    </xf>
    <xf numFmtId="0" fontId="19" fillId="0" borderId="29" xfId="0" applyNumberFormat="1" applyFont="1" applyFill="1" applyBorder="1" applyAlignment="1">
      <alignment horizontal="center" vertical="center" wrapText="1" shrinkToFit="1"/>
    </xf>
    <xf numFmtId="3" fontId="19" fillId="0" borderId="29" xfId="0" applyNumberFormat="1" applyFont="1" applyFill="1" applyBorder="1" applyAlignment="1">
      <alignment horizontal="center" vertical="center" wrapText="1"/>
    </xf>
    <xf numFmtId="0" fontId="19" fillId="0" borderId="68" xfId="0" applyFont="1" applyFill="1" applyBorder="1" applyAlignment="1">
      <alignment horizontal="justify" vertical="center" wrapText="1"/>
    </xf>
    <xf numFmtId="42" fontId="19" fillId="0" borderId="0" xfId="0" applyNumberFormat="1" applyFont="1" applyFill="1" applyBorder="1" applyAlignment="1">
      <alignment horizontal="center" vertical="center"/>
    </xf>
    <xf numFmtId="42" fontId="19" fillId="0" borderId="0" xfId="0" applyNumberFormat="1" applyFont="1" applyFill="1" applyBorder="1" applyAlignment="1">
      <alignment horizontal="center" vertical="center" wrapText="1"/>
    </xf>
    <xf numFmtId="0" fontId="28" fillId="7" borderId="52" xfId="0" applyFont="1" applyFill="1" applyBorder="1" applyAlignment="1">
      <alignment horizontal="center" vertical="center" wrapText="1"/>
    </xf>
    <xf numFmtId="0" fontId="28" fillId="7" borderId="53" xfId="0" applyFont="1" applyFill="1" applyBorder="1" applyAlignment="1">
      <alignment horizontal="center" vertical="center" wrapText="1"/>
    </xf>
    <xf numFmtId="42" fontId="28" fillId="7" borderId="53" xfId="3" applyFont="1" applyFill="1" applyBorder="1" applyAlignment="1">
      <alignment horizontal="center" vertical="center" wrapText="1"/>
    </xf>
    <xf numFmtId="0" fontId="28" fillId="7" borderId="54" xfId="0" applyFont="1" applyFill="1" applyBorder="1" applyAlignment="1">
      <alignment horizontal="center" vertical="center" wrapText="1"/>
    </xf>
    <xf numFmtId="0" fontId="28" fillId="0" borderId="38" xfId="0" applyFont="1" applyBorder="1" applyAlignment="1">
      <alignment wrapText="1"/>
    </xf>
    <xf numFmtId="0" fontId="29" fillId="0" borderId="38" xfId="0" applyFont="1" applyBorder="1" applyAlignment="1">
      <alignment vertical="center"/>
    </xf>
    <xf numFmtId="0" fontId="28" fillId="0" borderId="38" xfId="0" applyFont="1" applyBorder="1" applyAlignment="1">
      <alignment vertical="center" wrapText="1"/>
    </xf>
    <xf numFmtId="42" fontId="29" fillId="0" borderId="38" xfId="3" applyFont="1" applyBorder="1"/>
    <xf numFmtId="0" fontId="29" fillId="0" borderId="38" xfId="0" applyNumberFormat="1" applyFont="1" applyBorder="1"/>
    <xf numFmtId="0" fontId="28" fillId="0" borderId="28" xfId="0" applyFont="1" applyBorder="1" applyAlignment="1">
      <alignment wrapText="1"/>
    </xf>
    <xf numFmtId="0" fontId="29" fillId="0" borderId="28" xfId="0" applyFont="1" applyBorder="1" applyAlignment="1">
      <alignment vertical="center"/>
    </xf>
    <xf numFmtId="0" fontId="28" fillId="0" borderId="28" xfId="0" applyFont="1" applyBorder="1" applyAlignment="1">
      <alignment vertical="center" wrapText="1"/>
    </xf>
    <xf numFmtId="42" fontId="29" fillId="0" borderId="28" xfId="3" applyFont="1" applyBorder="1"/>
    <xf numFmtId="0" fontId="29" fillId="0" borderId="28" xfId="0" applyNumberFormat="1" applyFont="1" applyBorder="1"/>
    <xf numFmtId="0" fontId="28" fillId="0" borderId="39" xfId="0" applyFont="1" applyBorder="1" applyAlignment="1">
      <alignment wrapText="1"/>
    </xf>
    <xf numFmtId="0" fontId="29" fillId="0" borderId="39" xfId="0" applyFont="1" applyBorder="1" applyAlignment="1">
      <alignment vertical="center"/>
    </xf>
    <xf numFmtId="0" fontId="28" fillId="0" borderId="39" xfId="0" applyFont="1" applyBorder="1" applyAlignment="1">
      <alignment vertical="center" wrapText="1"/>
    </xf>
    <xf numFmtId="42" fontId="29" fillId="0" borderId="39" xfId="3" applyFont="1" applyBorder="1"/>
    <xf numFmtId="0" fontId="29" fillId="0" borderId="39" xfId="0" applyNumberFormat="1" applyFont="1" applyBorder="1"/>
    <xf numFmtId="0" fontId="28" fillId="9" borderId="58" xfId="0" applyFont="1" applyFill="1" applyBorder="1" applyAlignment="1">
      <alignment wrapText="1"/>
    </xf>
    <xf numFmtId="0" fontId="28" fillId="9" borderId="58" xfId="0" applyFont="1" applyFill="1" applyBorder="1" applyAlignment="1">
      <alignment vertical="center" wrapText="1"/>
    </xf>
    <xf numFmtId="42" fontId="28" fillId="9" borderId="58" xfId="3" applyNumberFormat="1" applyFont="1" applyFill="1" applyBorder="1" applyAlignment="1">
      <alignment wrapText="1"/>
    </xf>
    <xf numFmtId="0" fontId="28" fillId="9" borderId="58" xfId="0" applyNumberFormat="1" applyFont="1" applyFill="1" applyBorder="1"/>
    <xf numFmtId="0" fontId="28" fillId="0" borderId="38" xfId="0" applyFont="1" applyBorder="1" applyAlignment="1">
      <alignment vertical="center"/>
    </xf>
    <xf numFmtId="0" fontId="28" fillId="0" borderId="28" xfId="0" applyFont="1" applyBorder="1" applyAlignment="1">
      <alignment vertical="center"/>
    </xf>
    <xf numFmtId="0" fontId="28" fillId="0" borderId="39" xfId="0" applyFont="1" applyBorder="1" applyAlignment="1">
      <alignment vertical="center"/>
    </xf>
    <xf numFmtId="0" fontId="29" fillId="0" borderId="38" xfId="0" applyFont="1" applyBorder="1" applyAlignment="1">
      <alignment vertical="center" wrapText="1"/>
    </xf>
    <xf numFmtId="0" fontId="29" fillId="0" borderId="28" xfId="0" applyFont="1" applyBorder="1" applyAlignment="1">
      <alignment vertical="center" wrapText="1"/>
    </xf>
    <xf numFmtId="0" fontId="29" fillId="0" borderId="39" xfId="0" applyFont="1" applyBorder="1" applyAlignment="1">
      <alignment vertical="center" wrapText="1"/>
    </xf>
    <xf numFmtId="42" fontId="29" fillId="0" borderId="38" xfId="3" applyFont="1" applyBorder="1" applyAlignment="1">
      <alignment vertical="center"/>
    </xf>
    <xf numFmtId="0" fontId="29" fillId="0" borderId="38" xfId="0" applyNumberFormat="1" applyFont="1" applyBorder="1" applyAlignment="1">
      <alignment vertical="center"/>
    </xf>
    <xf numFmtId="42" fontId="29" fillId="0" borderId="28" xfId="3" applyFont="1" applyBorder="1" applyAlignment="1">
      <alignment vertical="center"/>
    </xf>
    <xf numFmtId="0" fontId="29" fillId="0" borderId="28" xfId="0" applyNumberFormat="1" applyFont="1" applyBorder="1" applyAlignment="1">
      <alignment vertical="center"/>
    </xf>
    <xf numFmtId="42" fontId="29" fillId="0" borderId="39" xfId="3" applyFont="1" applyBorder="1" applyAlignment="1">
      <alignment vertical="center"/>
    </xf>
    <xf numFmtId="0" fontId="29" fillId="0" borderId="39" xfId="0" applyNumberFormat="1" applyFont="1" applyBorder="1" applyAlignment="1">
      <alignment vertical="center"/>
    </xf>
    <xf numFmtId="0" fontId="28" fillId="0" borderId="43" xfId="0" applyFont="1" applyBorder="1" applyAlignment="1">
      <alignment vertical="center" wrapText="1"/>
    </xf>
    <xf numFmtId="0" fontId="29" fillId="0" borderId="43" xfId="0" applyFont="1" applyBorder="1" applyAlignment="1">
      <alignment vertical="center" wrapText="1"/>
    </xf>
    <xf numFmtId="0" fontId="29" fillId="0" borderId="43" xfId="0" applyFont="1" applyBorder="1" applyAlignment="1">
      <alignment vertical="center"/>
    </xf>
    <xf numFmtId="0" fontId="28" fillId="0" borderId="43" xfId="0" applyFont="1" applyBorder="1" applyAlignment="1">
      <alignment wrapText="1"/>
    </xf>
    <xf numFmtId="42" fontId="29" fillId="0" borderId="43" xfId="3" applyFont="1" applyBorder="1" applyAlignment="1">
      <alignment vertical="center"/>
    </xf>
    <xf numFmtId="0" fontId="29" fillId="0" borderId="43" xfId="0" applyNumberFormat="1" applyFont="1" applyBorder="1" applyAlignment="1">
      <alignment vertical="center"/>
    </xf>
    <xf numFmtId="42" fontId="28" fillId="9" borderId="58" xfId="3" applyFont="1" applyFill="1" applyBorder="1" applyAlignment="1">
      <alignment vertical="center" wrapText="1"/>
    </xf>
    <xf numFmtId="0" fontId="28" fillId="9" borderId="58" xfId="0" applyNumberFormat="1" applyFont="1" applyFill="1" applyBorder="1" applyAlignment="1">
      <alignment vertical="center"/>
    </xf>
    <xf numFmtId="42" fontId="29" fillId="0" borderId="38" xfId="3" applyFont="1" applyBorder="1" applyAlignment="1">
      <alignment vertical="center" wrapText="1"/>
    </xf>
    <xf numFmtId="0" fontId="29" fillId="0" borderId="38" xfId="0" applyNumberFormat="1" applyFont="1" applyBorder="1" applyAlignment="1">
      <alignment vertical="center" wrapText="1"/>
    </xf>
    <xf numFmtId="42" fontId="29" fillId="0" borderId="28" xfId="3" applyFont="1" applyBorder="1" applyAlignment="1">
      <alignment vertical="center" wrapText="1"/>
    </xf>
    <xf numFmtId="0" fontId="29" fillId="0" borderId="28" xfId="0" applyNumberFormat="1" applyFont="1" applyBorder="1" applyAlignment="1">
      <alignment vertical="center" wrapText="1"/>
    </xf>
    <xf numFmtId="42" fontId="29" fillId="0" borderId="39" xfId="3" applyFont="1" applyBorder="1" applyAlignment="1">
      <alignment vertical="center" wrapText="1"/>
    </xf>
    <xf numFmtId="0" fontId="29" fillId="0" borderId="39" xfId="0" applyNumberFormat="1" applyFont="1" applyBorder="1" applyAlignment="1">
      <alignment vertical="center" wrapText="1"/>
    </xf>
    <xf numFmtId="42" fontId="29" fillId="0" borderId="43" xfId="3" applyFont="1" applyBorder="1" applyAlignment="1">
      <alignment vertical="center" wrapText="1"/>
    </xf>
    <xf numFmtId="0" fontId="29" fillId="0" borderId="43" xfId="0" applyNumberFormat="1" applyFont="1" applyBorder="1" applyAlignment="1">
      <alignment vertical="center" wrapText="1"/>
    </xf>
    <xf numFmtId="0" fontId="28" fillId="9" borderId="58" xfId="0" applyNumberFormat="1" applyFont="1" applyFill="1" applyBorder="1" applyAlignment="1">
      <alignment vertical="center" wrapText="1"/>
    </xf>
    <xf numFmtId="0" fontId="19" fillId="5" borderId="22" xfId="0" applyNumberFormat="1" applyFont="1" applyFill="1" applyBorder="1" applyAlignment="1">
      <alignment horizontal="center" vertical="center" wrapText="1" shrinkToFit="1"/>
    </xf>
    <xf numFmtId="9" fontId="19" fillId="0" borderId="8" xfId="2"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3" fontId="25" fillId="0" borderId="17" xfId="1" applyNumberFormat="1" applyFont="1" applyFill="1" applyBorder="1" applyAlignment="1">
      <alignment vertical="center"/>
    </xf>
    <xf numFmtId="41" fontId="19" fillId="0" borderId="8" xfId="4" applyFont="1" applyFill="1" applyBorder="1" applyAlignment="1">
      <alignment vertical="center"/>
    </xf>
    <xf numFmtId="3" fontId="19" fillId="6" borderId="5" xfId="1" applyNumberFormat="1" applyFont="1" applyFill="1" applyBorder="1" applyAlignment="1">
      <alignment vertical="center"/>
    </xf>
    <xf numFmtId="0" fontId="19" fillId="6" borderId="5" xfId="0" applyFont="1" applyFill="1" applyBorder="1" applyAlignment="1">
      <alignment horizontal="center" vertical="center" wrapText="1"/>
    </xf>
    <xf numFmtId="166" fontId="19" fillId="0" borderId="17" xfId="1" applyNumberFormat="1" applyFont="1" applyFill="1" applyBorder="1" applyAlignment="1">
      <alignment vertical="center"/>
    </xf>
    <xf numFmtId="3" fontId="19" fillId="0" borderId="17" xfId="0" applyNumberFormat="1" applyFont="1" applyFill="1" applyBorder="1" applyAlignment="1">
      <alignment vertical="center"/>
    </xf>
    <xf numFmtId="3" fontId="19" fillId="0" borderId="18" xfId="0" applyNumberFormat="1" applyFont="1" applyFill="1" applyBorder="1" applyAlignment="1">
      <alignment horizontal="right" vertical="center" wrapText="1"/>
    </xf>
    <xf numFmtId="3" fontId="19" fillId="0" borderId="21" xfId="0" applyNumberFormat="1" applyFont="1" applyFill="1" applyBorder="1" applyAlignment="1">
      <alignment horizontal="right" vertical="center" wrapText="1"/>
    </xf>
    <xf numFmtId="3" fontId="19" fillId="6" borderId="17" xfId="1" applyNumberFormat="1" applyFont="1" applyFill="1" applyBorder="1" applyAlignment="1">
      <alignment vertical="center"/>
    </xf>
    <xf numFmtId="0" fontId="19" fillId="6" borderId="6" xfId="0" applyFont="1" applyFill="1" applyBorder="1" applyAlignment="1">
      <alignment horizontal="justify" vertical="center" wrapText="1"/>
    </xf>
    <xf numFmtId="0" fontId="19" fillId="6" borderId="5" xfId="0" applyFont="1" applyFill="1" applyBorder="1" applyAlignment="1">
      <alignment horizontal="left" vertical="center" wrapText="1"/>
    </xf>
    <xf numFmtId="41" fontId="19" fillId="2" borderId="5" xfId="0" applyNumberFormat="1" applyFont="1" applyFill="1" applyBorder="1"/>
    <xf numFmtId="0" fontId="19" fillId="0" borderId="23" xfId="0" applyNumberFormat="1" applyFont="1" applyFill="1" applyBorder="1" applyAlignment="1">
      <alignment horizontal="center" vertical="center" wrapText="1" shrinkToFit="1"/>
    </xf>
    <xf numFmtId="0" fontId="19" fillId="6" borderId="5" xfId="0" applyNumberFormat="1" applyFont="1" applyFill="1" applyBorder="1" applyAlignment="1">
      <alignment horizontal="center" vertical="center" wrapText="1" shrinkToFit="1"/>
    </xf>
    <xf numFmtId="165" fontId="19" fillId="6" borderId="5" xfId="0" applyNumberFormat="1" applyFont="1" applyFill="1" applyBorder="1" applyAlignment="1">
      <alignment horizontal="center" vertical="center"/>
    </xf>
    <xf numFmtId="0" fontId="19" fillId="2" borderId="23" xfId="0" applyFont="1" applyFill="1" applyBorder="1" applyAlignment="1">
      <alignment horizontal="center" vertical="center" wrapText="1"/>
    </xf>
    <xf numFmtId="0" fontId="1" fillId="10" borderId="69" xfId="0" applyFont="1" applyFill="1" applyBorder="1" applyAlignment="1">
      <alignment vertical="center" wrapText="1"/>
    </xf>
    <xf numFmtId="0" fontId="1" fillId="10" borderId="69" xfId="0" applyFont="1" applyFill="1" applyBorder="1" applyAlignment="1">
      <alignment vertical="center"/>
    </xf>
    <xf numFmtId="42" fontId="1" fillId="10" borderId="69" xfId="3" applyFont="1" applyFill="1" applyBorder="1" applyAlignment="1">
      <alignment vertical="center"/>
    </xf>
    <xf numFmtId="0" fontId="1" fillId="10" borderId="70" xfId="0" applyFont="1" applyFill="1" applyBorder="1" applyAlignment="1">
      <alignment horizontal="center" vertical="center" wrapText="1"/>
    </xf>
    <xf numFmtId="0" fontId="1" fillId="10" borderId="71" xfId="0" applyFont="1" applyFill="1" applyBorder="1" applyAlignment="1">
      <alignment horizontal="center" vertical="center" wrapText="1"/>
    </xf>
    <xf numFmtId="42" fontId="1" fillId="10" borderId="71" xfId="3" applyFont="1" applyFill="1" applyBorder="1" applyAlignment="1">
      <alignment horizontal="center" vertical="center" wrapText="1"/>
    </xf>
    <xf numFmtId="0" fontId="1" fillId="10" borderId="72" xfId="0" applyFont="1" applyFill="1" applyBorder="1" applyAlignment="1">
      <alignment horizontal="center" vertical="center" wrapText="1"/>
    </xf>
    <xf numFmtId="0" fontId="1" fillId="10" borderId="73" xfId="0" applyFont="1" applyFill="1" applyBorder="1"/>
    <xf numFmtId="0" fontId="1" fillId="0" borderId="74" xfId="0" applyNumberFormat="1" applyFont="1" applyBorder="1" applyAlignment="1">
      <alignment vertical="center"/>
    </xf>
    <xf numFmtId="0" fontId="1" fillId="9" borderId="75" xfId="0" applyFont="1" applyFill="1" applyBorder="1" applyAlignment="1">
      <alignment wrapText="1"/>
    </xf>
    <xf numFmtId="0" fontId="1" fillId="9" borderId="76" xfId="0" applyFont="1" applyFill="1" applyBorder="1" applyAlignment="1">
      <alignment vertical="center" wrapText="1"/>
    </xf>
    <xf numFmtId="0" fontId="1" fillId="9" borderId="77" xfId="0" applyNumberFormat="1" applyFont="1" applyFill="1" applyBorder="1" applyAlignment="1">
      <alignment vertical="center"/>
    </xf>
    <xf numFmtId="0" fontId="0" fillId="0" borderId="78" xfId="0" applyBorder="1" applyAlignment="1">
      <alignment vertical="center" wrapText="1"/>
    </xf>
    <xf numFmtId="0" fontId="1" fillId="0" borderId="78" xfId="0" applyFont="1" applyBorder="1" applyAlignment="1">
      <alignment vertical="center" wrapText="1"/>
    </xf>
    <xf numFmtId="0" fontId="0" fillId="0" borderId="78" xfId="0" applyBorder="1" applyAlignment="1">
      <alignment vertical="center"/>
    </xf>
    <xf numFmtId="42" fontId="0" fillId="0" borderId="78" xfId="3" applyFont="1" applyBorder="1" applyAlignment="1">
      <alignment vertical="center"/>
    </xf>
    <xf numFmtId="0" fontId="0" fillId="0" borderId="79" xfId="0" applyNumberFormat="1" applyBorder="1" applyAlignment="1">
      <alignment vertical="center"/>
    </xf>
    <xf numFmtId="42" fontId="1" fillId="9" borderId="77" xfId="3" applyFont="1" applyFill="1" applyBorder="1" applyAlignment="1">
      <alignment vertical="center"/>
    </xf>
    <xf numFmtId="9" fontId="0" fillId="0" borderId="0" xfId="2" applyFont="1" applyAlignment="1">
      <alignment vertical="center"/>
    </xf>
    <xf numFmtId="41" fontId="19" fillId="5" borderId="59" xfId="4" applyFont="1" applyFill="1" applyBorder="1" applyAlignment="1">
      <alignment horizontal="center" vertical="center" wrapText="1"/>
    </xf>
    <xf numFmtId="0" fontId="19" fillId="5" borderId="86" xfId="0" applyFont="1" applyFill="1" applyBorder="1" applyAlignment="1">
      <alignment horizontal="center" vertical="center" wrapText="1"/>
    </xf>
    <xf numFmtId="41" fontId="19" fillId="0" borderId="5" xfId="4" applyFont="1" applyFill="1" applyBorder="1" applyAlignment="1">
      <alignment vertical="center"/>
    </xf>
    <xf numFmtId="0" fontId="19" fillId="0" borderId="55" xfId="0" applyFont="1" applyFill="1" applyBorder="1" applyAlignment="1">
      <alignment horizontal="center" vertical="center" wrapText="1"/>
    </xf>
    <xf numFmtId="166" fontId="19" fillId="0" borderId="8" xfId="1" applyNumberFormat="1" applyFont="1" applyFill="1" applyBorder="1" applyAlignment="1">
      <alignment vertical="center"/>
    </xf>
    <xf numFmtId="3" fontId="19" fillId="0" borderId="8" xfId="0" applyNumberFormat="1" applyFont="1" applyFill="1" applyBorder="1" applyAlignment="1">
      <alignment vertical="center"/>
    </xf>
    <xf numFmtId="0" fontId="19" fillId="6" borderId="19" xfId="0" applyFont="1" applyFill="1" applyBorder="1" applyAlignment="1">
      <alignment horizontal="center" vertical="center" wrapText="1"/>
    </xf>
    <xf numFmtId="0" fontId="19" fillId="6" borderId="5" xfId="0" applyNumberFormat="1" applyFont="1" applyFill="1" applyBorder="1" applyAlignment="1">
      <alignment horizontal="justify" vertical="center" wrapText="1"/>
    </xf>
    <xf numFmtId="0" fontId="19" fillId="6" borderId="5" xfId="0" applyFont="1" applyFill="1" applyBorder="1" applyAlignment="1">
      <alignment horizontal="center" vertical="center"/>
    </xf>
    <xf numFmtId="0" fontId="30" fillId="0" borderId="0" xfId="0" applyFont="1"/>
    <xf numFmtId="0" fontId="30" fillId="0" borderId="0" xfId="0" pivotButton="1" applyFont="1" applyAlignment="1">
      <alignment wrapText="1"/>
    </xf>
    <xf numFmtId="0" fontId="30" fillId="0" borderId="0" xfId="0" applyFont="1" applyAlignment="1">
      <alignment wrapText="1"/>
    </xf>
    <xf numFmtId="0" fontId="31" fillId="0" borderId="0" xfId="0" applyFont="1" applyAlignment="1">
      <alignment vertical="center" wrapText="1"/>
    </xf>
    <xf numFmtId="0" fontId="31" fillId="0" borderId="0" xfId="0" applyFont="1" applyAlignment="1">
      <alignment horizontal="center" wrapText="1"/>
    </xf>
    <xf numFmtId="42" fontId="31" fillId="0" borderId="0" xfId="3" applyFont="1" applyAlignment="1">
      <alignment vertical="center" wrapText="1"/>
    </xf>
    <xf numFmtId="42" fontId="31" fillId="0" borderId="0" xfId="3" applyFont="1" applyAlignment="1">
      <alignment wrapText="1"/>
    </xf>
    <xf numFmtId="0" fontId="31" fillId="0" borderId="0" xfId="0" applyFont="1"/>
    <xf numFmtId="0" fontId="31" fillId="0" borderId="0" xfId="0" applyFont="1" applyAlignment="1">
      <alignment wrapText="1"/>
    </xf>
    <xf numFmtId="0" fontId="31" fillId="0" borderId="0" xfId="0" pivotButton="1" applyFont="1" applyAlignment="1">
      <alignment wrapText="1"/>
    </xf>
    <xf numFmtId="0" fontId="31" fillId="0" borderId="50" xfId="0" applyFont="1" applyBorder="1" applyAlignment="1">
      <alignment wrapText="1"/>
    </xf>
    <xf numFmtId="0" fontId="31" fillId="0" borderId="50" xfId="0" applyNumberFormat="1" applyFont="1" applyBorder="1"/>
    <xf numFmtId="0" fontId="31" fillId="0" borderId="0" xfId="0" applyNumberFormat="1" applyFont="1"/>
    <xf numFmtId="0" fontId="31" fillId="0" borderId="47" xfId="0" applyFont="1" applyBorder="1" applyAlignment="1">
      <alignment wrapText="1"/>
    </xf>
    <xf numFmtId="0" fontId="30" fillId="0" borderId="0" xfId="0" pivotButton="1" applyFont="1"/>
    <xf numFmtId="0" fontId="30" fillId="0" borderId="50" xfId="0" applyFont="1" applyBorder="1"/>
    <xf numFmtId="0" fontId="31" fillId="0" borderId="50" xfId="0" applyFont="1" applyBorder="1"/>
    <xf numFmtId="0" fontId="30" fillId="0" borderId="47" xfId="0" applyFont="1" applyBorder="1"/>
    <xf numFmtId="0" fontId="31" fillId="0" borderId="50" xfId="0" applyNumberFormat="1" applyFont="1" applyBorder="1" applyAlignment="1">
      <alignment wrapText="1"/>
    </xf>
    <xf numFmtId="0" fontId="31" fillId="0" borderId="0" xfId="0" applyNumberFormat="1" applyFont="1" applyAlignment="1">
      <alignment wrapText="1"/>
    </xf>
    <xf numFmtId="42" fontId="0" fillId="0" borderId="0" xfId="0" applyNumberFormat="1"/>
    <xf numFmtId="41" fontId="0" fillId="0" borderId="0" xfId="0" applyNumberFormat="1" applyAlignment="1">
      <alignment vertical="center"/>
    </xf>
    <xf numFmtId="0" fontId="16" fillId="0" borderId="49" xfId="0" quotePrefix="1" applyFont="1" applyFill="1" applyBorder="1" applyAlignment="1">
      <alignment horizontal="center" vertical="center" wrapText="1"/>
    </xf>
    <xf numFmtId="0" fontId="16" fillId="0" borderId="50" xfId="0" quotePrefix="1" applyFont="1" applyFill="1" applyBorder="1" applyAlignment="1">
      <alignment horizontal="center" vertical="center" wrapText="1"/>
    </xf>
    <xf numFmtId="0" fontId="16" fillId="0" borderId="51" xfId="0" quotePrefix="1" applyFont="1" applyFill="1" applyBorder="1" applyAlignment="1">
      <alignment horizontal="center" vertical="center" wrapText="1"/>
    </xf>
    <xf numFmtId="0" fontId="22" fillId="0" borderId="0" xfId="0" applyFont="1" applyFill="1" applyBorder="1" applyAlignment="1">
      <alignment horizontal="center" wrapText="1"/>
    </xf>
    <xf numFmtId="0" fontId="23" fillId="0" borderId="0" xfId="0" applyFont="1" applyFill="1" applyBorder="1" applyAlignment="1">
      <alignment horizont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1" xfId="0" applyFont="1" applyFill="1" applyBorder="1" applyAlignment="1">
      <alignment horizontal="center" vertical="center" wrapText="1"/>
    </xf>
    <xf numFmtId="15" fontId="16" fillId="0" borderId="49" xfId="0" applyNumberFormat="1" applyFont="1" applyFill="1" applyBorder="1" applyAlignment="1">
      <alignment horizontal="center" vertical="center" wrapText="1"/>
    </xf>
    <xf numFmtId="15" fontId="16" fillId="0" borderId="50" xfId="0" applyNumberFormat="1" applyFont="1" applyFill="1" applyBorder="1" applyAlignment="1">
      <alignment horizontal="center" vertical="center" wrapText="1"/>
    </xf>
    <xf numFmtId="15" fontId="16" fillId="0" borderId="51" xfId="0" applyNumberFormat="1"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5" fillId="0" borderId="3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31" fillId="0" borderId="0" xfId="0" applyFont="1" applyAlignment="1">
      <alignment horizontal="center" vertical="center" wrapText="1"/>
    </xf>
    <xf numFmtId="0" fontId="30" fillId="0" borderId="0" xfId="0" applyFont="1" applyAlignment="1">
      <alignment horizontal="center" vertical="center" wrapText="1"/>
    </xf>
    <xf numFmtId="0" fontId="0" fillId="0" borderId="0" xfId="0" applyAlignment="1">
      <alignment horizontal="center"/>
    </xf>
    <xf numFmtId="42" fontId="0" fillId="0" borderId="0" xfId="3" applyFont="1" applyAlignment="1">
      <alignment horizontal="center"/>
    </xf>
    <xf numFmtId="0" fontId="24" fillId="10" borderId="60" xfId="0" applyFont="1" applyFill="1" applyBorder="1" applyAlignment="1">
      <alignment horizontal="left" vertical="center" wrapText="1"/>
    </xf>
    <xf numFmtId="0" fontId="24" fillId="10" borderId="61" xfId="0" applyFont="1" applyFill="1" applyBorder="1" applyAlignment="1">
      <alignment horizontal="left" vertical="center" wrapText="1"/>
    </xf>
    <xf numFmtId="42" fontId="5" fillId="10" borderId="62" xfId="3" applyFont="1" applyFill="1" applyBorder="1" applyAlignment="1">
      <alignment horizontal="center" vertical="center"/>
    </xf>
    <xf numFmtId="42" fontId="5" fillId="10" borderId="57" xfId="3" applyFont="1" applyFill="1" applyBorder="1" applyAlignment="1">
      <alignment horizontal="center" vertical="center"/>
    </xf>
    <xf numFmtId="42" fontId="5" fillId="10" borderId="63" xfId="3" applyFont="1" applyFill="1" applyBorder="1" applyAlignment="1">
      <alignment horizontal="center" vertical="center"/>
    </xf>
    <xf numFmtId="0" fontId="0" fillId="0" borderId="57" xfId="0" applyBorder="1" applyAlignment="1">
      <alignment horizontal="center"/>
    </xf>
    <xf numFmtId="0" fontId="1" fillId="0" borderId="6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0" xfId="0" applyFont="1" applyAlignment="1">
      <alignment horizontal="center" vertical="center" wrapText="1"/>
    </xf>
    <xf numFmtId="0" fontId="1" fillId="0" borderId="64" xfId="0" applyFont="1" applyBorder="1" applyAlignment="1">
      <alignment horizontal="center" vertical="center" wrapText="1"/>
    </xf>
    <xf numFmtId="0" fontId="0" fillId="0" borderId="57" xfId="0" applyBorder="1" applyAlignment="1">
      <alignment horizontal="center" vertical="center"/>
    </xf>
    <xf numFmtId="0" fontId="1" fillId="0" borderId="56"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0" fontId="5" fillId="0" borderId="57" xfId="0" applyFont="1" applyBorder="1" applyAlignment="1">
      <alignment horizontal="center" vertical="center"/>
    </xf>
    <xf numFmtId="0" fontId="24" fillId="10" borderId="14" xfId="0" applyFont="1" applyFill="1" applyBorder="1" applyAlignment="1">
      <alignment horizontal="left" vertical="center" wrapText="1"/>
    </xf>
    <xf numFmtId="0" fontId="24" fillId="10" borderId="15" xfId="0" applyFont="1" applyFill="1" applyBorder="1" applyAlignment="1">
      <alignment horizontal="left" vertical="center" wrapText="1"/>
    </xf>
    <xf numFmtId="41" fontId="1" fillId="10" borderId="15" xfId="4" applyFont="1" applyFill="1" applyBorder="1" applyAlignment="1">
      <alignment horizontal="right" vertical="center" wrapText="1"/>
    </xf>
    <xf numFmtId="41" fontId="1" fillId="10" borderId="16" xfId="4" applyFont="1" applyFill="1" applyBorder="1" applyAlignment="1">
      <alignment horizontal="right" vertical="center" wrapText="1"/>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41" fontId="1" fillId="10" borderId="15" xfId="4" applyFont="1" applyFill="1" applyBorder="1" applyAlignment="1">
      <alignment horizontal="right" vertical="center"/>
    </xf>
    <xf numFmtId="41" fontId="1" fillId="10" borderId="16" xfId="4" applyFont="1" applyFill="1" applyBorder="1" applyAlignment="1">
      <alignment horizontal="right" vertical="center"/>
    </xf>
    <xf numFmtId="0" fontId="0" fillId="0" borderId="57" xfId="0" applyBorder="1" applyAlignment="1">
      <alignment horizontal="center" vertical="center" wrapText="1"/>
    </xf>
    <xf numFmtId="0" fontId="1" fillId="0" borderId="3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0" fontId="5" fillId="0" borderId="0" xfId="0" applyFont="1" applyAlignment="1">
      <alignment horizontal="center" vertical="center" wrapText="1"/>
    </xf>
    <xf numFmtId="0" fontId="28" fillId="10" borderId="14" xfId="0" applyFont="1" applyFill="1" applyBorder="1" applyAlignment="1">
      <alignment horizontal="left" vertical="center" wrapText="1"/>
    </xf>
    <xf numFmtId="0" fontId="28" fillId="10" borderId="15" xfId="0" applyFont="1" applyFill="1" applyBorder="1" applyAlignment="1">
      <alignment horizontal="left" vertical="center" wrapText="1"/>
    </xf>
    <xf numFmtId="41" fontId="28" fillId="10" borderId="15" xfId="4" applyFont="1" applyFill="1" applyBorder="1" applyAlignment="1">
      <alignment horizontal="right" vertical="center"/>
    </xf>
    <xf numFmtId="41" fontId="28" fillId="10" borderId="16" xfId="4" applyFont="1" applyFill="1" applyBorder="1" applyAlignment="1">
      <alignment horizontal="right" vertical="center"/>
    </xf>
    <xf numFmtId="0" fontId="28" fillId="0" borderId="38"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9" xfId="0" applyFont="1" applyBorder="1" applyAlignment="1">
      <alignment horizontal="center" vertical="center" wrapText="1"/>
    </xf>
    <xf numFmtId="0" fontId="5" fillId="0" borderId="57" xfId="0" applyFont="1" applyBorder="1" applyAlignment="1">
      <alignment horizontal="center" vertical="center" wrapText="1"/>
    </xf>
  </cellXfs>
  <cellStyles count="5">
    <cellStyle name="Millares" xfId="1" builtinId="3"/>
    <cellStyle name="Millares [0]" xfId="4" builtinId="6"/>
    <cellStyle name="Moneda [0]" xfId="3" builtinId="7"/>
    <cellStyle name="Normal" xfId="0" builtinId="0"/>
    <cellStyle name="Porcentaje" xfId="2" builtinId="5"/>
  </cellStyles>
  <dxfs count="709">
    <dxf>
      <alignment horizontal="center"/>
    </dxf>
    <dxf>
      <alignment vertical="center"/>
    </dxf>
    <dxf>
      <font>
        <b/>
      </font>
    </dxf>
    <dxf>
      <fill>
        <patternFill>
          <bgColor theme="3" tint="0.79998168889431442"/>
        </patternFill>
      </fill>
    </dxf>
    <dxf>
      <fill>
        <patternFill patternType="solid">
          <bgColor theme="3" tint="0.59999389629810485"/>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wrapText="0"/>
    </dxf>
    <dxf>
      <alignment wrapText="0"/>
    </dxf>
    <dxf>
      <alignment wrapText="0"/>
    </dxf>
    <dxf>
      <alignment wrapText="0"/>
    </dxf>
    <dxf>
      <alignment wrapText="0"/>
    </dxf>
    <dxf>
      <alignment wrapText="1"/>
    </dxf>
    <dxf>
      <alignment wrapText="1"/>
    </dxf>
    <dxf>
      <alignment horizontal="general"/>
    </dxf>
    <dxf>
      <alignment vertical="center"/>
    </dxf>
    <dxf>
      <alignment horizontal="center"/>
    </dxf>
    <dxf>
      <numFmt numFmtId="33" formatCode="_-* #,##0_-;\-* #,##0_-;_-* &quot;-&quot;_-;_-@_-"/>
    </dxf>
    <dxf>
      <numFmt numFmtId="32" formatCode="_-&quot;$&quot;\ * #,##0_-;\-&quot;$&quot;\ * #,##0_-;_-&quot;$&quot;\ * &quot;-&quot;_-;_-@_-"/>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wrapText="1"/>
    </dxf>
    <dxf>
      <font>
        <color auto="1"/>
      </font>
    </dxf>
    <dxf>
      <font>
        <color auto="1"/>
      </font>
    </dxf>
    <dxf>
      <border>
        <bottom style="thin">
          <color indexed="64"/>
        </bottom>
      </border>
    </dxf>
    <dxf>
      <border>
        <bottom style="thin">
          <color indexed="64"/>
        </bottom>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font>
    </dxf>
    <dxf>
      <fill>
        <patternFill>
          <bgColor theme="3" tint="0.79998168889431442"/>
        </patternFill>
      </fill>
    </dxf>
    <dxf>
      <fill>
        <patternFill patternType="solid">
          <bgColor theme="3" tint="0.59999389629810485"/>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wrapText="1"/>
    </dxf>
    <dxf>
      <font>
        <color auto="1"/>
      </font>
    </dxf>
    <dxf>
      <font>
        <color auto="1"/>
      </font>
    </dxf>
    <dxf>
      <border>
        <bottom style="thin">
          <color indexed="64"/>
        </bottom>
      </border>
    </dxf>
    <dxf>
      <border>
        <bottom style="thin">
          <color indexed="64"/>
        </bottom>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font>
    </dxf>
    <dxf>
      <fill>
        <patternFill>
          <bgColor theme="3" tint="0.79998168889431442"/>
        </patternFill>
      </fill>
    </dxf>
    <dxf>
      <fill>
        <patternFill patternType="solid">
          <bgColor theme="3" tint="0.59999389629810485"/>
        </patternFill>
      </fill>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238125</xdr:rowOff>
    </xdr:from>
    <xdr:to>
      <xdr:col>0</xdr:col>
      <xdr:colOff>1404937</xdr:colOff>
      <xdr:row>4</xdr:row>
      <xdr:rowOff>119062</xdr:rowOff>
    </xdr:to>
    <xdr:pic>
      <xdr:nvPicPr>
        <xdr:cNvPr id="3" name="Imagen 2">
          <a:extLst>
            <a:ext uri="{FF2B5EF4-FFF2-40B4-BE49-F238E27FC236}">
              <a16:creationId xmlns:a16="http://schemas.microsoft.com/office/drawing/2014/main" id="{0F734A15-0527-4708-9DED-986FAB244DF5}"/>
            </a:ext>
          </a:extLst>
        </xdr:cNvPr>
        <xdr:cNvPicPr/>
      </xdr:nvPicPr>
      <xdr:blipFill>
        <a:blip xmlns:r="http://schemas.openxmlformats.org/officeDocument/2006/relationships" r:embed="rId1"/>
        <a:stretch>
          <a:fillRect/>
        </a:stretch>
      </xdr:blipFill>
      <xdr:spPr bwMode="auto">
        <a:xfrm>
          <a:off x="95250" y="690563"/>
          <a:ext cx="1309687" cy="9048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lorez\Documents\Oscar%20Fl&#243;rez%20Moreno\2017\Plan%20de%20contrataci&#243;n\PLAN%20DE%20CONTRATACION%20RAPE%202017_Direcci&#243;n%20Corporativ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cardenas\AppData\Local\Microsoft\Windows\INetCache\Content.Outlook\508HJFNX\Plan%20Anual%20de%20Adquisiciones%20PARAMOS%20%20Julio%2018%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ersonal/eclavijo_regioncentralrape_gov_co/Documents/Edwin%20Clavijo/Plan%20de%20Contratacion/Plan%20de%20contrataci&#243;n/Paramos/Copia%20de%20plan%20anual%20de%20adquisiciones%20version%201.3%2026.09.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lavijo\OneDrive%20-%20Regi&#243;n%20Administrativa%20y%20de%20Planeaci&#243;n%20Especial%20RAPE\Edwin%20Clavijo\Plan%20de%20Contratacion\Plan%20de%20contrataci&#243;n\Paramos\Plan%20Anual%20de%20Adquisiciones%20PARAMOS%20%20Version%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clavijo\AppData\Local\Microsoft\Windows\INetCache\Content.Outlook\S1B3GWE2\PLAN%20DE%20CONTRATACION%20RAPE%202017_Version%2013%20para%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eclavijo_regioncentralrape_gov_co/Documents/Edwin%20Clavijo/Plan%20de%20Contratacion/Modificaciones/8%20Plantilla%20anexa%20Ajuste%20con%20POAI%202017%20Comunic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clavijo\AppData\Local\Microsoft\Windows\INetCache\Content.Outlook\S1B3GWE2\Ajuste%20Plan%20de%20Adquisiciones.%20Incorporaci&#243;n%20POAI.2017.V.2.%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clavijo/AppData/Local/Microsoft/Windows/INetCache/Content.Outlook/S1B3GWE2/Ajuste%20Plan%20de%20Adquisiciones.%20Incorporaci&#243;n%20POAI.2017.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clavijo/AppData/Local/Microsoft/Windows/INetCache/Content.Outlook/S1B3GWE2/Plantilla%20Plan%20de%20Contratacion_ajuste%20POAI_jul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castellanos\OneDrive%20-%20Regi&#243;n%20Administrativa%20y%20de%20Planeaci&#243;n%20Especial%20RAPE\PRESUPUESTO\2017\PLAN%20DE%20ADQUISICIONES\Copia%20de%20PLAN%20DE%20CONTRATACION%20RAPE%202017_Version%208.1_AYUDA%20EDWI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clavijo\AppData\Local\Microsoft\Windows\INetCache\Content.Outlook\S1B3GWE2\Plantilla%20Plan%20de%20Contratacion_ajuste%20POAI_juli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eclavijo_regioncentralrape_gov_co/Documents/Edwin%20Clavijo/Plan%20de%20Contratacion/Plan%20de%20contrataci&#243;n/F-M-GC.01-15%20Plan%20de%20Adquisicion%20Versi&#243;n%20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lan%20anual%20de%20Adquisiciones%20Paramos%20Julio%2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Contratacion PARAMOS "/>
      <sheetName val="flujo de recursos"/>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Contratacion PARAMO 2"/>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CONTRATACIÓN 2017"/>
      <sheetName val="Hoja2"/>
      <sheetName val="Al 14 de agosto"/>
      <sheetName val="Infoome a Julio "/>
      <sheetName val="Hoja3"/>
      <sheetName val="aGOSTO"/>
      <sheetName val="Hoja2 (2)"/>
      <sheetName val="Distribución "/>
      <sheetName val="Distribucion 2 "/>
      <sheetName val="Al 28 de Agosto "/>
      <sheetName val="Al 1 de Septiembre"/>
      <sheetName val="al 30 de se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CONTRATACIÓN 2017"/>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CONTRATACIÓN 2017"/>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CONTRATACIÓN 2017"/>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CONTRATACIÓN 2017"/>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NTRATACIÓN 2017"/>
      <sheetName val="LIST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Contratacion PARAMOS "/>
      <sheetName val="Hoja1"/>
      <sheetName val="flujo de recursos"/>
      <sheetName val="Hoja2"/>
    </sheetNames>
    <sheetDataSet>
      <sheetData sheetId="0"/>
      <sheetData sheetId="1"/>
      <sheetData sheetId="2"/>
      <sheetData sheetId="3"/>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win Andres Clavijo Romero" refreshedDate="43073.406639351851" createdVersion="6" refreshedVersion="6" minRefreshableVersion="3" recordCount="296" xr:uid="{30EA75BC-16AE-45BB-BABE-B7047FFDB156}">
  <cacheSource type="worksheet">
    <worksheetSource ref="A9:U306" sheet="PLAN CONTRATACIÓN 2017"/>
  </cacheSource>
  <cacheFields count="21">
    <cacheField name="No. PROCESO" numFmtId="0">
      <sharedItems containsSemiMixedTypes="0" containsString="0" containsNumber="1" containsInteger="1" minValue="1" maxValue="254" count="254">
        <n v="1"/>
        <n v="2"/>
        <n v="3"/>
        <n v="4"/>
        <n v="5"/>
        <n v="6"/>
        <n v="7"/>
        <n v="8"/>
        <n v="9"/>
        <n v="10"/>
        <n v="11"/>
        <n v="12"/>
        <n v="89"/>
        <n v="90"/>
        <n v="91"/>
        <n v="92"/>
        <n v="93"/>
        <n v="94"/>
        <n v="125"/>
        <n v="126"/>
        <n v="127"/>
        <n v="128"/>
        <n v="129"/>
        <n v="130"/>
        <n v="131"/>
        <n v="132"/>
        <n v="133"/>
        <n v="13"/>
        <n v="14"/>
        <n v="15"/>
        <n v="16"/>
        <n v="17"/>
        <n v="18"/>
        <n v="19"/>
        <n v="20"/>
        <n v="95"/>
        <n v="96"/>
        <n v="97"/>
        <n v="120"/>
        <n v="134"/>
        <n v="135"/>
        <n v="136"/>
        <n v="137"/>
        <n v="138"/>
        <n v="139"/>
        <n v="140"/>
        <n v="141"/>
        <n v="144"/>
        <n v="251"/>
        <n v="21"/>
        <n v="22"/>
        <n v="23"/>
        <n v="24"/>
        <n v="25"/>
        <n v="98"/>
        <n v="124"/>
        <n v="142"/>
        <n v="26"/>
        <n v="27"/>
        <n v="28"/>
        <n v="29"/>
        <n v="30"/>
        <n v="31"/>
        <n v="32"/>
        <n v="99"/>
        <n v="100"/>
        <n v="101"/>
        <n v="143"/>
        <n v="145"/>
        <n v="146"/>
        <n v="147"/>
        <n v="148"/>
        <n v="149"/>
        <n v="150"/>
        <n v="151"/>
        <n v="171"/>
        <n v="172"/>
        <n v="173"/>
        <n v="182"/>
        <n v="185"/>
        <n v="252"/>
        <n v="253"/>
        <n v="33"/>
        <n v="34"/>
        <n v="35"/>
        <n v="36"/>
        <n v="37"/>
        <n v="38"/>
        <n v="39"/>
        <n v="102"/>
        <n v="103"/>
        <n v="104"/>
        <n v="105"/>
        <n v="106"/>
        <n v="107"/>
        <n v="108"/>
        <n v="109"/>
        <n v="110"/>
        <n v="111"/>
        <n v="112"/>
        <n v="113"/>
        <n v="114"/>
        <n v="115"/>
        <n v="116"/>
        <n v="152"/>
        <n v="153"/>
        <n v="154"/>
        <n v="155"/>
        <n v="156"/>
        <n v="157"/>
        <n v="40"/>
        <n v="41"/>
        <n v="42"/>
        <n v="43"/>
        <n v="44"/>
        <n v="45"/>
        <n v="46"/>
        <n v="47"/>
        <n v="48"/>
        <n v="49"/>
        <n v="50"/>
        <n v="51"/>
        <n v="52"/>
        <n v="53"/>
        <n v="54"/>
        <n v="55"/>
        <n v="56"/>
        <n v="57"/>
        <n v="58"/>
        <n v="59"/>
        <n v="60"/>
        <n v="61"/>
        <n v="62"/>
        <n v="86"/>
        <n v="88"/>
        <n v="117"/>
        <n v="118"/>
        <n v="123"/>
        <n v="158"/>
        <n v="159"/>
        <n v="160"/>
        <n v="161"/>
        <n v="162"/>
        <n v="163"/>
        <n v="164"/>
        <n v="165"/>
        <n v="166"/>
        <n v="167"/>
        <n v="168"/>
        <n v="169"/>
        <n v="170"/>
        <n v="174"/>
        <n v="175"/>
        <n v="176"/>
        <n v="177"/>
        <n v="178"/>
        <n v="179"/>
        <n v="183"/>
        <n v="243"/>
        <n v="244"/>
        <n v="245"/>
        <n v="246"/>
        <n v="247"/>
        <n v="248"/>
        <n v="63"/>
        <n v="64"/>
        <n v="65"/>
        <n v="66"/>
        <n v="67"/>
        <n v="180"/>
        <n v="68"/>
        <n v="121"/>
        <n v="254"/>
        <n v="69"/>
        <n v="70"/>
        <n v="71"/>
        <n v="72"/>
        <n v="73"/>
        <n v="74"/>
        <n v="181"/>
        <n v="75"/>
        <n v="76"/>
        <n v="77"/>
        <n v="249"/>
        <n v="250"/>
        <n v="78"/>
        <n v="79"/>
        <n v="122"/>
        <n v="184"/>
        <n v="80"/>
        <n v="81"/>
        <n v="82"/>
        <n v="83"/>
        <n v="84"/>
        <n v="85"/>
        <n v="87"/>
        <n v="119"/>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sharedItems>
    </cacheField>
    <cacheField name="FUNCIONAMIENTO/INVERSIÓN" numFmtId="0">
      <sharedItems count="8">
        <s v="Sustentabilidad ecosistémica y manejo de riesgos"/>
        <s v="Seguridad alimentaria y desarrollo rural"/>
        <s v="Infraestructuras de transporte, logística y servicios públicos"/>
        <s v="Competitividad y proyección internacional"/>
        <s v="Gobernanza y buen gobierno"/>
        <s v="Fortalecimiento institucional"/>
        <s v="Funcionamiento"/>
        <s v="Inversión"/>
      </sharedItems>
    </cacheField>
    <cacheField name="META PLAN DE ACCIÓN 2017" numFmtId="0">
      <sharedItems/>
    </cacheField>
    <cacheField name="OBJETO CONTRACTUAL" numFmtId="0">
      <sharedItems count="282" longText="1">
        <s v="Prestar servicios profesionales en la definición de perfiles, tipificación y construcción de propuestas de proyectos relacionados con la adaptación al cambio climático, bajo el diseño de instrumentos de información, planificación, gestión ambiental y de riesgo"/>
        <s v="Aunar esfuerzos técnicos, administrativos y finacieros para la implementación del modelo de PSA o de incentivos a la conservación en la Región Central. "/>
        <s v="Diseñar e implementar en la Región Central una estrategia de cambio cultural orientada al cuidado del agua y asociada a la adaptación y mitigación del cambio climático"/>
        <s v="Prestar servicios profesionales para la construcción de la línea base y estado del arte de los instrumentos de planificación y de ordemaniento y manejo del recurso hídrico de la Región"/>
        <s v="Formular, gestionar e implementar un proyecto regional de guardapáramos y de implementación del modelo de PSA o de incentivos para la conservación del recurso hídrico en la Región Central"/>
        <s v="Prestar servicios profesionales para la coordinación y seguimiento a las estrategias que se deben implementar en el proceso de abordaje e inserción comunitaria en las áreas de páramo de la Región Central"/>
        <s v="Prestar servicios profesionales para el diseño y apoyo a los programas en reconversión productiva con el enfoque de buenas prácticas ganaderas en ecosistemas de alta montaña"/>
        <s v="Prestar servicios profesionales para el diseño y apoyo a los programas en reconversión productiva con el enfoque de buenas prácticas ambientales y agropecuarias en ecosistemas sensibles"/>
        <s v="Prestar servicios técnicos de apoyo a la gestión para el abordaje e inserción comunitaria para la protección del recurso hídrico de la Región Central en las áreas que le sean definidas "/>
        <s v="Adición y prórroga al contrato 040-2017 cuyo objeto es: &quot;Prestar servicios técnicos de apoyo a la gestión para el abordaje e inserción comunitaria para la protección del recurso hídrico de la Región Central en las áreas que le sean definidas&quot;."/>
        <s v="Adición y prórroga al contrato 038-2017 cuyo objeto es: &quot;Prestar servicios técnicos de apoyo a la gestión para el abordaje e inserción comunitaria para la protección del recurso hídrico de la Región Central en las áreas que le sean definidas&quot;"/>
        <s v="Prestar servicios profesionales para la identificación y estructuración de proyectos ambientales en la Región"/>
        <s v="Gastos de desplazamiento"/>
        <s v="Prestar servicios  profesionales para apoyar el proceso de identificación y caracterización de los actores sociales y ambientales de la Región Central en el marco del Proyecto Páramos"/>
        <s v="Prestar servicios profesionales en lo relacionado con temas de reconversión productiva en áreas de páramo y bosque alto andino en la Región Central"/>
        <s v="Prestar servicios profesionales en lo relacionado con temas de restauración ecológica en áreas de páramo y bosque alto andino en la Región Central"/>
        <s v="Prestar servicios profesionales de verificación de trabajo en campo, en los temas de restauración y reconversión productiva en áreas de páramo y bosque alto andino en la Región Central"/>
        <s v="Adición No. 1 al contrato No. 30 de 2017 cuyo objeto es &quot;Prestar servicios profesionales de verificación de trabajo en campo, en los temas de restauración y reconversión productiva en áreas de páramo y bosque alto andino en la Región Central&quot;"/>
        <s v="Prestar servicios profesionales en el proceso de planificación, seguimiento y monitoreo del presupuesto del proyecto  de páramos y de los proyectos asociados a éste y apoyo técnico de confromidad con lo dispuesto por el sistema GESPROY del Sistema General de Regalías"/>
        <s v="&quot;Adición y prórroga al contrato 071-17 cuyo objeto es &quot;Prestar servicios profesionales en el proceso de planificación, seguimiento y monitoreo del presupuesto del proyecto  de páramos y de los proyectos asociados a éste y apoyo técnico de confromidad con lo dispuesto por el sistema GESPROY del Sistema General de Regalías&quot;"/>
        <s v="Prestar servicios técnicos de apoyo a la gestión social, enfocada a la educación ambiental y el abordaje e inserción comunitaria en las áreas de páramo de la Región Central que le sean definidas "/>
        <s v="Prestar servicios técnicos de apoyo a la gestión para el abordaje e inserción comunitaria para la protección del recurso hídrico de la Región Central en las áreas que le sean asignadas. "/>
        <s v="Prestar servicios profesionales y de apoyo a la gestión en la caracterización, control y seguimiento a los predios donde se implementará el modelo de PSA o de incentivos a la conservación en la Región Central."/>
        <s v="Aunar esfuerzos técnicos, administrativos y finanacieros para el diseño de un programa de incentivos a la conservación ecológica, que permita desarrollar el modelo de pagos por Servicios Ambientales de la Región Central, mediante la implementación de pilotos en áreas focalizadas de 3 municipios en el territorio de los asociados de la RAPE - Región Central."/>
        <s v="Aunar esfuerzos técnicos, administrativos y económicos entre la Corporación Autónoma Regional de Cundinamarca – CAR, la Región Administrativa y de Planeación Especial – RAPE Región Central, la Corporación para el Manejo Sostenible de los Bosques – MASBOSQUES, así como aquellas entidades  establecidas en el artículo 2 del Decreto Ley 870 de 2017, para implementar y consolidar el esquema BanCO2® “Servicios Ambientales Comunitarios” en las áreas de importancia estratégica de la jurisdicción CAR"/>
        <s v="Prestar servicios profesionales para apoyo a la gestión del Eje de Sustentabilidad Ecosistémica y Manejo de Riesgos y cambio climático"/>
        <s v="Garantizar la participación de la Región Administrativa y de Planeación Especial RAPE Región Central en el “Congreso Internacional de Páramos y Ecosistemas de Montaña: “Hacia una visión regional de las montañas andinas” y reunión regional de las partes “Agenda Estratégica de Adaptación al Cambio Climático en los Andes”, como estrategia para la gestión del conocimiento y la innovación Ambiental"/>
        <s v="Prestar los servicios profesionales para apoyar el proceso de elaboración e implementación del Proyecto regional de voluntariado de guardapáramos "/>
        <s v="Puesta en marcha  e implementación del programa de voluntariado para la conservación de los páramos de la Región Central"/>
        <s v="Prestar servicios profesionales para la identificación de los elementos para la conectividad de la estructura ecológica regional de soporte"/>
        <s v="Adición y prórroga al Convenio 051 de 2015 (UTF/COL/072/COL-FAO) cuyo objeto es la “Estrategia de Seguridad Alimentaria y Economía Rural para la Región Central de Colombia”"/>
        <s v="Adición y prórroga No. 7 al Convenio 051 de 2015 (UTF/COL/072/COL-FAO) cuyo objeto es la “Estrategia de Seguridad Alimentaria y Economía Rural para la Región Central de Colombia”"/>
        <s v="Prestar servicios profesionales para llevar a cabo la coordinación y seguimiento a los procesos que se desarrollen en el marco de los planes, programas y proyectos ejecutados de conformidad con las políticas de seguridad alimentaria"/>
        <s v="Prestar servicios profesionales para la estructuración y puesta en marcha de una estrategia para la implementación del proyecto de compras institucionales"/>
        <s v="Implementar el proyecto de &quot;Mercados campesinos y Cambio Verde&quot; en la Región Central, como medida de mitigación del cambio climático y de mejoramiento del acceso a los alimentos por parte de la población vulnerable y fortalecimiento de canales de comercialización  "/>
        <s v="Adición y prórroga al contrato 037-17 cuyo objeto es: &quot;Prestar servicios profesionales para la estructuración y puesta en marcha de una estrategia para la implementación del proyecto de compras institucionales&quot;"/>
        <s v="Prestar servicios profesionales de apoyo técnico en temas de reconversión productiva y buenas prácticas agropecuarias en el marco de los proyectos que desarrolle la entidad"/>
        <s v="Adición y prórroga al Contrato 048-17 cuyo objeto es: &quot;Prestar servicios profesionales de apoyo técnico en temas de reconversión productiva y buenas prácticas agropecuarias en el marco de los proyectos que desarrolle la entidad&quot;"/>
        <s v="Adición y prórroga No 2 al Contrato 048-17 cuyo objeto es: &quot;Prestar servicios profesionales de apoyo técnico en temas de reconversión productiva y buenas prácticas agropecuarias en el marco de los proyectos que desarrolle la entidad&quot;"/>
        <s v="Prestar servicios técnicos y operativos de apoyo  a la gestión para el desarrollo de los proyectos de la Región Central"/>
        <s v="Prestar servicios profesionales para elaborar e implementar el modelo de ejecución y programación técnica, operativa y financiera del proyecto de mejoramiento de ingresos para pequeños productores"/>
        <s v="Prestar servicios profesionales en lo relacionado con temas de asistencia técnica agropecuaria en áreas rurales de la Región Central en el marco del proyecto mejoramiento de ingresos a pequeños productores"/>
        <s v="Prestar servicios para la identificación de familias beneficiarias, en el marco del proyecto de mejoramiento de ingresos a pequeños productores"/>
        <s v="Adición No. 1  Convenio Asociación No. 379 de 2016 cuyo objeto es &quot;Aunar esfuerzos técnicos, administrativos y financieros para la comercialización directa de los productos agropecuarios de la ruralidad de Bogotá y la Región Central, a través de la estrategia de Mercados Campesinos del Plan maestro de Abastecimiento de alimentos y Seguridad Alimentaria de Bogotá - PMASAB, favoreciendo la disponibilidad y el acceso de alimentos de la canasta basica, a los ciudadanos de Bogotá&quot;"/>
        <s v="Prestar servicios profesionales para apoyar las actividades relacionadas con los procesos de agronegocios para el desarrollo del Sistema de compras institucionales"/>
        <s v="Prestar servicios profesionales para la implementación del proyecto de intercambio de material potencialmente reciclable por alimentos"/>
        <s v="Adición y pórroga del contrato 076-2017 cuyo objeto es: &quot;Prestar servicios profesionales para la implementación del proyecto de intercambio de material potencialmente reciclable por alimentos&quot;"/>
        <s v="Prestar servicios técnicos  de apoyo en la implementación del proyecto de intercambio de material potencialmente reciclable por productos agrícolas, en el territorio de la Región Central asignado"/>
        <s v="Adición y Prórroga al contrato 072-2017 cuyo objeto es &quot;Prestar servicios técnicos  de apoyo en la implementación del proyecto de intercambio de material potencialmente reciclable por productos agrícolas, en el territorio de la Región Central asignado&quot;"/>
        <s v="Prestar servicios profesionales para el desarrollo de la estrategia de implementación de intercambio de material potencialmente reciclable por alimentos en el territorio asignado de la Región Central"/>
        <s v="Prestar servicios tecnicos y operativos de apoyo a la gestión para el desarrollo de los proyectos de la Region Central"/>
        <s v="Adición y prórroga  al contrato 068-2017 cuyo opbjeto es: &quot;Prestar servicios tecnicos y operativos de apoyo a la gestión para el desarrollo de los proyectos de la Region Central&quot;"/>
        <s v="Contratar la prestación del servicio de transporte para la realización de los mercados campesinos de la Región Central"/>
        <s v="Adición y prórroga del contrato 43 de 2017 cuyo objeto es Prestar servicios profesionales para llevar a cabo la coordinación y seguimiento a los procesos que se desarrollen en el marco de los planes, programas y proyectos ejecutados de conformidad con las políticas de seguridad alimentaria"/>
        <s v="Realizar la identificación y localización de familias beneficiaras del proyecto de mejoramiento de ingresos de los pequeños productores rurales de la Región Central"/>
        <s v="Adición No. 1 del contrato 099-2017 cuyo objeto es: &quot;Desarrollar y ejecutar una  estrategia de marketing y comunicación 360º que incluya  la producción  y emisión de  microprogramas  de televisión y  video, estrategias de marketing digital –on line- y un plan de medios de comunicación para la promoción de los proyectos de la Región Central.&quot;"/>
        <s v="Prestación de Servicios artísticos  para la puesta en marcha de una estrategia comunicativa BTL de performance artístico donde se visibilicen las manifestaciones socioculturales de los territorios asociados a la Región Central RAP-E (Bogotá D,C., Cundinamarca, Boyacá, Tolima y Meta)."/>
        <s v="Aunar esfuerzos técnicos, administrativos y financieros que permitan propiciar iniciativas de facilitación logística urbano – regional para mejorar la competitividad de las empresas, a través de la articulación entre el sector público, privado y la academia"/>
        <s v="Contratar la ejecución de acciones de mejoramiento logístico en las cadenas de abastecimiento de la Región Central"/>
        <s v="Prestar servicios profesionales en el proceso de estructuración financiera y operativa de proyectos de conectividad multimodal regional del Plan Maestro de Transporte Intermodal de la Región Central"/>
        <s v="Desarrollar la estructuración financiera y operativa de proyectos de la Región Central relacionados con el eje de Infraestructuras de transporte, logística y servicios públicos"/>
        <s v="Prestar servicios profesionales para desarrollar la gestión interinstitucional requerida para la formulación de proyectos de conectividad multimodal y logística en el territorio de la Región Central"/>
        <s v="Prestar servicios profesionales pare el apoyo técnico ambiental para los proyectos de infraestructura de la región central"/>
        <s v="Prestar servicios profesionales para la planeación, ejecución y seguimiento de los proyectos relacionados con fortalecer la conectividad  intermodal y logística de la Región Central"/>
        <s v="Prestar servicios profesionales para el acompañamiento en el desarrollo de los temas propios del sector turístico en la Región Central"/>
        <s v="Prestar servicios profesionales para acompañar el diseño de la estrategia de articulación de los actores gremiales de los territoriales de la Región Central y en general, los temas asociados a la competitividad"/>
        <s v="Adición No. 1 al Contrato No. 33 de 2017 &quot;Prestar servicios profesionales para acompañar el diseño de la estrategia de articulación de los actores gremiales de los territorios de la Región Central y en general, los temas asociados a la competitividad&quot;"/>
        <s v="Aunar esfuerzos técnicos, administrativos y financieros para la implementacion de un proyecto de la agenda de especializacion inteligente"/>
        <s v="Prestar servicios profesionales para desarrollar acciones de promoción del turismo en la Región Central, a través de medios digitales"/>
        <s v="Desarrollar acciones para la promoción del turismo de naturaleza en la Región Central a través de expediciones"/>
        <s v="Diseño e implementación del producto turistico asociado a turismo de naturaleza"/>
        <s v="Prestar servicios profesionales para asesorar en los proyectos y temas relacionados con la agenda internacional de la Región Central"/>
        <s v="Aunar esfuerzos técnicos, administrativos y financieros para el fortalecimiento de las capacidades de asociación y gestión de las organizaciones de productores de la Región Central"/>
        <s v="Prestar servicios de apoyo a la gestión para la organización, producción y puesta en marcha de los eventos  que debe desarrollar la entidad, en el marco de los proyectos de promoción de turismo"/>
        <s v="Adición No. 1 al Contrato No. 57 de 2017 &quot;Prestar servicios de apoyo a la gestión para la organización, producción y puesta en marcha de los eventos  que debe desarrollar la entidad, en el marco de los proyectos de promoción de turismo&quot;"/>
        <s v="Producción e instalación de la señalización para las rutas de biciturismo de acuerdo al plan diseñado por la Región Central"/>
        <s v="Desarrollar y ejecutar una  estrategia de marketing y comunicación 360º que incluya  la producción  y emisión de  microprogramas  de televisión y  video, estrategias de marketing digital –on line- y un plan de medios de comunicación para la promoción de los proyectos de la Región Central."/>
        <s v="Planeación y producción de un evento de lanzamiento de las rutas de biciturismo de la Región Central"/>
        <s v="Diseño de un producto turístico asociado a rutas de biciturismo en la Región Central e implmentación de acciones de fortalecimiento a comunidades locales como operadores del producto"/>
        <s v="Prestar servicios profesionales para apoyar el Eje Competitividad y Proyección Internacional en lo relacionado a los productos turístico de la Ruta del Dorado y BiciRegión de la Región Central"/>
        <s v="Adición y prórroga al contrato 075-2017 cuyo objeto es: &quot;Prestar servicios profesionales para apoyar el Eje Competitividad y Proyección Internacional en lo relacionado a los productos turístico de la Ruta del Dorado y BiciRegión de la Región Central&quot;"/>
        <s v="Estudio de prefactibilidad para la estructuración del proyecto de la Ruta de Integración para la paz en la Región Central"/>
        <s v="Prestar los servicios de operación logística en el marco del programa de competitividad y proyección internacional, de acuerdo con las especificaciones técnicas definidas por la Región Central"/>
        <s v="Adición y prórroga 1 al contrato No. 114 cuyo objeto es &quot;Prestar los servicios de operación logística en el marco del programa de competitividad y proyección internacional, de acuerdo con las especificaciones técnicas definidas por la Región Central&quot;"/>
        <s v="Prestar servicios profesionales para apoyar al eje Competitividad y Proyección Internacional en las acciones de formulación de los proyectos relacionados con turismo en la Región Central"/>
        <s v="Aunar esfuerzos para el desarrollo de un programa de innovación en proceso productivo para obtener un café diferenciado con alto valor agregado para el  departamento del Tolima"/>
        <s v="Prestar servicios profesionales para la elaboración de los componentes museológicos, museográficos y de diseño de la ruta de integración para la paz"/>
        <s v="Prestar servicios profesionales para la articulación y gestión de actores públicos y privados en el marco del proyecto de la ruta de integración para la paz"/>
        <s v="Realizar la Interventoría técnica, administrativa, financiera, económica y legal al contrato para producción e instalación de la señalización para las rutas de biciturismo de acuerdo al plan diseñado por la Región Central"/>
        <s v="Adición y prórroga 1 al Cto 116-17 cuyo objeto es &quot;Realizar la Interventoría técnica, administrativa, financiera, económica y legal al contrato para producción e instalación de la señalización para las rutas de biciturismo de acuerdo al plan diseñado por la Región Central&quot;"/>
        <s v="Elaboración de estudios y diseños para la infraestructura física de la primera etapa ruta de integración para la Paz en la Región Central"/>
        <s v="Prestar servicios técnicos de apoyo para  la formulación del proyecto de la ruta de integración de la paz en la Región Central."/>
        <s v="Desarrollar y ejecutar una estrategia de comunicación audio visual que incluya la realización de un video institucional y la elaboración y publicación de contenidos (ATL), donde se visibilicen los planes, proyectos y programas de la Región Central RAP-E."/>
        <s v="Prestar servicios profesionales para la gestión, acompañamiento y seguimiento al desarrollo de los temas de articulación de la planeación y el ordenamiento territorial de la Región Central"/>
        <s v="Adición No. 1 al Contrato No. 34 de 2017 &quot;Prestar servicios profesionales para la gestión, acompañamiento y seguimiento al desarrollo de los temas de articulación de la planeación y el ordenamiento territorial de la Región Central&quot;"/>
        <s v="Prestar servicios profesionales para el apoyo de los procesos de planificación y ordenamiento territorial"/>
        <s v="Adición No. 1 al Contrato No. 13 de 2017 &quot;Prestar servicios profesionales para el apoyo de los procesos de planificación y ordenamiento territorial&quot;"/>
        <s v="Prestar servicios profesionales para la actualización y mantenimiento del SIG regional que garantice la elaboración de productos cartográficos"/>
        <s v="Prestar servicios profesionales para desarrollar estrategias que promuevan la mejora de las prácticas de gobierno abierto a través de ejercicios de planificación, ejecución y seguimiento a la gestión pública de los socios "/>
        <s v="Aunar esfuerzos técnicos administrativos y financieros entre el Departamento de Boyacá y la Región Administrativa y de Planeación Especial - RAPE Región Central, para la ejecución del proyecto &quot;Fortalecimiento de la institucionalidad de la Región Central a través del desarrollo e implementación de una metodología de gestión que fortalezca la capacidad gerencial en el marco del Plan de Desarrollo de la Gobernación de Boyacá&quot;"/>
        <s v="Prestar servicios profesionales para adelantar la gestión interinstitucional con las entidades competetentes y consolidar la propuesta de delegación de catastro"/>
        <s v="Prestar servicios profesionales para desarrollar acciones de enlace institucional y coordinación de agendas con el territorio asociado Bogotá D.C  y la Región Central."/>
        <s v="Prestar servicios profesionales para desarrollar acciones de enlace institucional y coordinación de agendas con el departamento de Cundinamarca como territorio asociado de la Región central"/>
        <s v="Prestar servicios profesionales para desarrollar acciones de enlace institucional y coordinación de agendas con el departamento del Meta como territorio asociado de la Región central"/>
        <s v="Prestar servicios profesionales para desarrollar acciones de enlace institucional y coordinación de agendas con el departamento de Tolima como territorio asociado de la Región central"/>
        <s v="Prestar servicios profesionales para adelantar las acciones necesarias que permitan diseñar y coordinar la estrategia de interacción requerida por la RAPE Region Central, en el marco de los acuerdos de la Habana, para la articulación entre el gobierno nacional, las entidades socias, y el sector privado interesado, enfocado al orden territorial"/>
        <s v="Prestar servicios profesionales para la identificación, abordaje e inserción de las instancias de participación en Bogotá D.C., con relación a la Región Central"/>
        <s v="Adición No. 1 al Contrato No. 41 de 2017 cuyo objeto es &quot;Prestar servicios profesionales para la identificación, abordaje e inserción de las instancias de participación en el Distrito Capital, con relación a la Región Central&quot;"/>
        <s v="Prestar servicios profesionales para la identificación, abordaje e inserción de las instancias de participación en el departamento de Cundinamarca, con relación a la Región Central"/>
        <s v="Prestar servicios profesionales para desarrollar acciones de enlace institucional, y actividades para el abordaje e inserción en las instancias de participación del departamento de Boyacá con relación a la Región Central"/>
        <s v="Prestar servicios profesionales para la identificación, abordaje e inserción de las instancias de participación en el departamento de Meta, con relación a la Región Central"/>
        <s v="Prestar servicios profesionales para la identificación, abordaje e inserción de las instancias de participación en el departamento de Tolima, con relación a la Región Central"/>
        <s v="Prestar servicios profesionales para apoyar la coordinación del proceso de identificación,  participación e inserción en las diferentes instancias de participación activas de la Región Central"/>
        <s v="Prestar servicios profesionales para el seguimiento a las acciones desarrolladas en el marco de los procesos de planificación y ordenamiento territorial de la Región Central"/>
        <s v="Prestar servicios profesionales para la actualización y mantenimiento del SIG regional que garantice la elaboración de productos cartográficos y los proyectos del catastro multipropósito"/>
        <s v="Prestar servicios profesionales de asesoría para la revisión,  validación y actualización de la propuesta jurídica, organizativa y reglamentaria de creación del Consejo de Participación de la Región Central "/>
        <s v="Prestar servicios profesionales para adelantar la gestión y el seguimiento de los proyectos, ordenanzas y acuerdos y demás actos administrativos relacionados con la misión de la Región Central"/>
        <s v="Prestar servicios profesionales para elaborar la propuesta de lineamientos de integración de la Infraestructura de Datos Espaciales Regionales (IDER) de los Departamentos de Boyacá, Meta y Tolima, de manera que puedan articularse al IDE que esperan desarrollar Bogotá y Cundinamarca"/>
        <s v="Adición y prórroga del contrato 031 de 2017 cuyo objeto es &quot;Prestar servicios profesionales para adelantar la gestión y el seguimiento de los proyectos, ordenanzas y acuerdos y demás actos administrativos relacionados con la misión de la Región Central&quot;"/>
        <s v="Prestar servicios profesionales para apoyar la coordinación de las actividades de gestión institucional y abordaje e inserción en las instancias de participación en la Región Central"/>
        <s v="Adición y prórroga del contrato 051 de 2017 cuyo objeto es &quot;Prestar servicios profesionales para la iodentificación, abordaje e inserción de las instancias de participación en el departamento de Cundinamarca, con relación a la Región Central&quot;"/>
        <s v="Adición y prórroga del contrato 047 de 2017 cuyo objeto es &quot;Prestar servicios profesionales para la identificación, abordaje e inserción de las instancias de participación en el departamento del Meta, con relación a la Región Central&quot;"/>
        <s v="Adición y prórroga del contrato 058 de 2017 cuyo objeto es &quot;Prestar servicios profesionales para desarrollar acciones de enlace institucional y coordinación de agendas con el departamento de Tolima como territorio asociado de la Región Central&quot;"/>
        <s v="Prestar servicios profesionales para elaborar e implementar el modelo de ejecución y programación técnica, operativa y financiera del proyecto de acciones de conservación y restauración de páramos."/>
        <s v="Prestar servicios profesionales de apoyo a la gestión jurídica en el marco  precontractual y contractual tendientes a contratar la ejecución de los proyectos aprobados por el Sistema General de Regalías."/>
        <s v="Prestar servicios profesionales de apoyo a la gestión jurídica que contribuya con la gestión de los procesos contractuales previstos en el marco de proyectos de inversión de la vigencia y los derivados del PER"/>
        <s v="Prestar servicios profesionales de apoyo a la gestión técnica en la elaboración de estudios previos y de mercado necesarios para contratar la ejecución de los proyectos aprobados por el Sistema General de Regalías y apoyar el seguimiento técnico  según lo dispuesto por el sistema GESPROY"/>
        <s v="Prestar servicios profesionales de apoyo para el seguimiento técnico, admninistrativo y financiero a la ejecución de los proyectos  a cargo de la Región Central"/>
        <s v="Adición y prórroga No.1 al contrato 024 de 2017 cuyo objeto es: Prestar servicios profesionales de apoyo para el seguimiento técnico, administrativo y financiero a la ejecución de los proyectos  a cargo de la Región Central"/>
        <s v="Prestar servicios profesionales para apoyar la supervisión y seguimiento administrativo, técnico y financiero de los planes y proyectos desarrollados en el marco de los ejes estratégicos de la entidad"/>
        <s v="Prestar servicios profesionales para apoyar la ejecución,  estructuración, gestión y aprobación de proyectos de inversión en ciencia, tecnología e innovación conforme a las fuentes de financiación vigentes "/>
        <s v="Prestar servicios profesionales para  la gestión y estructuración técnica de iniciativas de inversión del  Banco de Programas y Proyectos de la Región Central"/>
        <s v="Adición y prórroga al Contrato 12 de 2017 cuyo objeto es &quot;Prestar servicios profesionales para  la gestión y estructuración técnica de iniciativas de inversión del  Banco de Programas y Proyectos de la Región Central&quot;"/>
        <s v="Prestar servicios profesionales para  la formulación de proyectos de inversión derivados de los ejes estrategicos de la Región Central"/>
        <s v="Prestar servicos profesionales para el apoyo en la gestión documental, elaboración y cargue de información de proyectos en la Metodología General Ajustada (MGA) conforme con la normatividad vigente del Departamento Nacional de Planeación "/>
        <s v="Adición y prórroga No.1 al contrato 020 de 2017 cuyo objeto es: Prestar servicios profesionales para el apoyo en la gestión documental, elaboración y cargue de información de proyectos en la Metodología General Ajustada (MGA) conforme con la normatividad vigente del Departamento Nacional de Planeación "/>
        <s v="Prestar servicios profesionales para desarrollar las habilidades para ejecutar auditorias internas a un sistema de gestión de calidad para el sector público de acuerdo a los requerimientos de las normas NTC-GP 1000:2009, ISO 9001:2015 e ISO 19011:2011 y realizar la Preauditoria Externa a la RAPE Región Central en el Sistema de Gestión de Calidad con las normas vigentes"/>
        <s v="Prestar servicios profesionales para la estructuración del componente jurídico de los proyectos que contemplen la articulación de los instrumentos de ordenamiento territorial."/>
        <s v="Prestar servicios profesionales para realizar el seguimiento a los instrumentos de planeación definidos al interior de la entidad, en el marco del Sistema Integrado de Gestión"/>
        <s v="Adición y prórroga No 1 del contrato 025-2017 cuyo objeto es: &quot;Prestar servicios profesionales para realizar el seguimiento a los instrumentos de planeación definidos al interior de la entidad, en el marco del Sistema Integrado de Gestión&quot;"/>
        <s v="Prestar servicios técnicos para apoyar los canales de atención a los ususarios de la entidad"/>
        <s v="Prestar apoyo administrativo en el proceso de Servicio al Ciudadano y en lo relacionado con el manejo documental del mismo."/>
        <s v="Adición y Prórroga del contrato 088-17 cuyo Objeto es &quot;Prestar apoyo administrativo en el proceso de Servicio al Ciudadano y en lo relacionado con el manejo documental del mismo.&quot;"/>
        <s v="Prestación de servicios para la operación logística en la organización y ejecución de actividades requeridas por la entidad, en el marco de sus funciones misionales y administrativas"/>
        <s v="Contratar la adquisición, configuración, instalación, puesta en marcha y mantenimiento preventivo de los componentes tecnológicos (Servidor, impresoras y escáner) brindando la conectividad y comunicación para el sistema de gestión documental de la Región Administrativa y de Planeación Especial"/>
        <s v="Contratar el alquiler e instalación de equipos de cómputo que incluya mantenimiento preventivo, correctivo y soporte técnico, de conformidad con las especificaciones técnicas establecidas por la entidad"/>
        <s v="Adición y prórroga No. 1 al contrato 061 de 2017 cuyo objeto es: &quot;Contratar el alquiler e instalación de equipos de cómputo que incluya mantenimiento preventivo, correctivo y soporte técnico de conformidad con las especificaciones técnicas&quot;"/>
        <s v="Renovación de suscripción del software de georreferenciación con el que cuenta la entidad (Licencia ArcGis Spatial Analyst for Desktop Single Licence)"/>
        <s v="Renovación de suscripción del software de georreferenciación con el que cuenta la entidad (Soporte y Actuialización)"/>
        <s v="Adquisición de licenciamiento de project 2016 para soportar los procesos de la entidad"/>
        <s v="Adquisición de storage para el almacenamiento y seguridad de la información que produce la Región Central - RAPE"/>
        <s v="Prestar servicios profesionales para la gestión en comunicaciones, en materia de interacción con representantes de los medios de comunicación y apoyo mediático en eventos organizados por la Región Central."/>
        <s v="Prestar servicios profesionales para la gestión de comunicaciones en materia de interación con representantes  de los medios de comunicación  y apoyo mediático en eventos organizados  por la Región Central. "/>
        <s v="Prestar servicios profesionales para el diseño y desarrollo de sitios web responsive con administrados de contenidos y bases de datos"/>
        <s v="Adición  y Prorroga  Contrato 007 de 2017  Prestar servicios profesionales para el diseño  y desarrollo  de sitios web responsive con administardor de contenidos  y bases de datos.  "/>
        <s v="Prestar servicios profesionales para la elaboración y puesta en marcha de una estrategia de marketing digital a la Región Central, que abarque plataformas virtuales como página web y redes sociales"/>
        <s v="Adición y prórroga No. 1 al contrato 031 de 2016 cuyo objeto es: &quot;Contratar el alquiler e instalación de equipos de cómputo que incluya mantenimiento preventivo, correctivo y soporte técnico de conformidad con las especificaciones técnicas&quot;"/>
        <s v="Prestar servicios profesionales en materia de planeación estratégica creativa y publicitaria, desarrollo e implementación de la imagen creativa de los procesos misionales y proyectos y en las actividades de promoción y posicionamiento que requiera la Región Central"/>
        <s v="Prestar servicios profesionales para  el seguimiento e implementación de proyectos de inversión derivados de los ejes estrategicos de la Región Central"/>
        <s v="Desarrollar las acciones estrategicas para el fortalecimiento institucional a través de la cooperación y el intercambio de experiencias significativas para la Región Central"/>
        <s v="Prestar servicios profesionales para  apoyar a la entidad en el desarrollo  de la  estrategia de marketing digital de la Región Central, que incluya  el manejo de redes sociales  y  la administración de comunidades virtuales"/>
        <s v="Adición y prórroga al contrato 063-17 cuyo objeto es &quot;Prestar servicios profesionales para apoyar a la entidad en el desarrollo  de la  estrategia de marketing digital de la Región Central, que incluya  el manejo de redes sociales  y  la administración de comunidades virtuales&quot;"/>
        <s v="Prestar servicios profesionales para  la gestión de nuevas fuentes de financiación de inversión del  Banco de Programas y Proyectos de la Región Central"/>
        <s v="Prestar servicios profesionales para  apoyar los análisis y proyecciones financieras y administrativas de los proyectos de estructuración técnica del  Banco de Programas y Proyectos de la Región Central"/>
        <s v="Prestar servicios profesionales para  apoyar los análisis y estudios requeridos  para la estructuración técnica de proyectos de inversión del  Banco de Programas y Proyectos de la Región Central con enfoque ambiental"/>
        <s v="Adición y Prórroga al contrato 067-2017 cuyo objeto es: &quot;Prestar servicios profesionales para  apoyar los análisis y estudios requeridos  para la estructuración técnica de proyectos de inversión del  Banco de Programas y Proyectos de la Región Central con enfoque ambiental&quot;"/>
        <s v="Prestar servicios profesionales para  apoyar estandarización de bases de datos y archivos planos que permitan la consolidación de datos abiertos de la entidad con un mejor manejo y disponibilidad de información regional en la estrcuturación de proyectos de inversión."/>
        <s v="Modificación 1 y Adición 1 al Contrato 094 de 2017 cuyo Objeto es: &quot;Prestación de servicios para la operación logística en la organización y ejecución de actividades requeridas por la entidad, en el marco de sus funciones misionales y administrativas&quot;."/>
        <s v="Prestar servicios de apoyo al seguimiento del Proceso de Direccionamiento Estratégico"/>
        <s v="Prestar servicios profesionales de apoyo a la formulación, normalización y el seguimiento de los Procesos Misionales de la RAPE Región Central "/>
        <s v="Adición y Prórroga No. 1 al contrato 004 de 2017 cuyo objeto es &quot;Prestar servicios profesionales para la actualización y mantenimiento del SIG regional que garantice la elaboración de productos cartográficos&quot;"/>
        <s v="Suscripción de herramientas colaborativas del licenciamiento office 365"/>
        <s v="Adquisición de herramientas de Monitoreo y Gestión para la administración de TICS de la Región Central - RAPE. "/>
        <s v="Adición No. 1 al contrato 064 - 17 cuyo objeto es: Prestación de servicios y de apoyo necesarios para desarrollar el Plan Anual de Bienestar e Incentivos de la entidad para la vigencia 2017, el cual busca mejorar la calidad de vida de los funcionarios y sus familias."/>
        <s v="Prestar servicios profesionales para la Pre, Pro, y Posproducción  de piezas audiovisuales (animación, fotografía, video)  y la construcción del banco de fotografía dentro de la estrategia de comunicación de la Región Central. "/>
        <s v="Elaborar y ejecutar  la producción gráfica  (rebranding, material POP y litografía) de la nueva  imagen corporativa  de la Región Central Rape y los demás proyectos a cargo de la entidad."/>
        <s v="Producir y emitir  microprogramas de radio  para  visibilizar las acciones, los hechos regionales, ejes estratégicos y   proyectos que adelanta  la  Región  Central Rape"/>
        <s v="Prestar servicios profesionales para la gestión estratégica  y la coordinación  interinstitucional en  el desarrollo de contenidos de  los proyectos  priorizados para los asociados de la Región Central"/>
        <s v="Prestación de servicios necesarios para la realización de la actividad de Reinducción, en el marco del fortalecimiento de la gestión del talento humano en la entidad"/>
        <s v="Realizar la medición de clima organizacional bajo las 5 dimensiones de la metodología Great Place to Work® aplicada a todos los colaboradores de la entidad,  en el marco del fortalecimiento de la gestión del talento humano&quot;"/>
        <s v="Adquirir el certificado y aplicación de estampado para el sistema de gestión documental de la Región Central."/>
        <s v="Adición y Prorroga N. 1 al contrato N. 023-2017 cuyo objeto es &quot;Prestar servicios profesionales para la identificación y estructuración de proyectos ambientales en la Región&quot;"/>
        <s v="Prestar Servicios profesionales para la integración y actualización geográfica, cartográfica y alfanumérica del Sistema de Información Geográfica - SIG de la Región Central, asegurando la planeación de los proyectos de la entidad."/>
        <s v="Adquisición de base de datos SQL para administrar los datos del Sistema de Gestión Documental"/>
        <s v="Adquisición de equipos de cómputo requeridos por la Oficina Asesora de Comunicaciones para el desarrollo de actividades planes, programas y proyectos a cargo de la Región Central RAP-E"/>
        <s v="Compra de las Licencias de Ofimática y programas de diseño"/>
        <s v="Adquisición de equipos tecnológicos y audiovisuales para el fortalecimiento de la actividades, planes, programas y proyectos a cargo de la Región Central RAPE"/>
        <s v="Desarrollar y ejecutar una estrategia de comunicación audio visual que incluya la realización de un video institucional y la elaboración y publicación de contenidos (ATL), donde se visibilicen los planes, proyectos y programas de la Región Central RAP-E. "/>
        <s v="Prestar servicios profesionales en el desarrollo de las actividades requeridas en el marco del proceso de gestión contractual"/>
        <s v="Prestar servicios profesionales en en el desarrollo de las actividades requeridas en el marco del proceso de gestión contractual"/>
        <s v="Adición y Pórroga del Contrato 016-17 &quot;Prestar servicios profesionales en en el desarrollo de las actividades requeridas en el marco del proceso de gestión contractual&quot;"/>
        <s v="Prestar servicios profesionales para la ejecución y seguimiento a las actividades desarrolladas en el marco de los procesos corporativos de la entidad"/>
        <s v="Adición y Pórroga del Contrato 022-17 &quot;Prestar servicios profesionales para la ejecución y seguimiento a las actividades desarrolladas en el marco de los procesos corporativos de la entidad&quot;"/>
        <s v="Prestar servicios técnicos para en el soporte requerido para el desarrollo del proceso tecnológico y de las comunicaciones"/>
        <s v="Prestar servicios profesionales para la asesoría en el proceso de rediseño institucional de la RAPE Región Central así como en la elaboración de los actos administrativos que se requieran para su implementación. "/>
        <s v="Suministro de elementos de papelería y útiles de oficina requeridos para el desarrollo de los proyectos y funcionamiento Región Central"/>
        <s v="Adquisición de carpetas para el archivo, de conformidad con las especificaciones técnicas requeridas."/>
        <s v="Adqusición de herramientas físicas para el mantenimiento preventivo y correctivo para las instalaciones de la entidad."/>
        <s v="Renovación de herramientas colaborativas del licenciamiento office 365"/>
        <s v="Renovación del licenciamiento de la página web de la entidad"/>
        <s v="Prestar el servicio de actualizacion de firmas y mantenimiento del sistema de información administrativo y financiea TNS"/>
        <s v="Adición y prórroga al contrato 024 de 2016 cuyo objeto es: &quot;Prestar el servicio de transporte público terrestre automotor especial para desarrollar las actividades de la Región Administrativa y de Planeación Especial RAPE - Región Central &quot;"/>
        <s v="Prestar el servicio de transporte público terrestre automotor especial para desarrollar las actividades requeridas para el funcionamiento de la Región Administrativa y de Planeación Especial - RAPE - Región Central"/>
        <s v="Adición y prórroga al contrato 055-17 &quot;Prestar el servicio de transporte público terrestre automotor especial para desarrollar las actividades requeridas para el funcionamiento de la Región Administrativa y de Planeación Especial - RAPE - Región Central&quot;"/>
        <s v="Prestar los servicios postales y de correo a nivel local, nacional e internacional, para recoger y  distribuir la correspondencia generada por la Región Administrativa y de Planeación Especial - RAPE - Región Central"/>
        <s v="Prestación de servicios de canal de internet y troncal SIP para el funcionamiento y comunicación de la Región Administrativa y de Planeación Especial - RAPE - Región Central"/>
        <s v="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
        <s v="Adición al contrato 054-17 cuyo objeto es &quot;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quot;"/>
        <s v="Suscripción al servicio de herramientas prácticas para la actualización de información en materia jurídica"/>
        <s v="Prestar el servicio de aseo y cafetería, incluyendo el suministro de los elementos necesarios para el mismo, en las diferentes áreas de la Región Administrativa y de Planeación Especial  RAPE - Región Central"/>
        <s v="Contratar por el Sistema de Precios Unitarios y cantidad de obra realmente ejecutada, las obras de adecuación, remodelación y amueblamiento de la oficina 702 del edificio Cámara Colombiana de la Infraestructura en la ciudad de Bogotá D.C., incluyendo el suministro redes de voz y datos, donde funciona la sede de la Región Administrativa y de Planeación Especial - RAPE  Región Central."/>
        <s v="Adición No. 1 al  Contrato 056-2017 cuyo objeto es: &quot;Contratar por el Sistema de Precios Unitarios y cantidad de obra realmente ejecutada, las obras de adecuación, remodelación y amueblamiento de la oficina 702 del edificio Cámara Colombiana de la Infraestructura en la ciudad de Bogotá D.C., incluyendo el suministro redes de voz y datos, donde funciona la sede de la Región Administrativa y de Planeación Especial - RAPE  Región Central.&quot;"/>
        <s v="Realizar la compra de estantería y mobiliario para la adecuación de el depósito de la entidad "/>
        <s v="EL ARRENDADOR entrega al ARRENDATARIO, a título de arrendamiento, y éste recibe de aquel al mismo título, un inmueble con destino al funcionamiento de la sede principal de la Región Administrativa y de Planeación Especial - RAPE - Región Central, un inmueble ubicado en la Avenida calle 26 No. 59 - 41 oficina 702  Edificio Cámara Colombiana de la Infraestructura en la ciudad de Bogotá D.C."/>
        <s v="Prestación de servicios y de apoyo necesarios para desarrollar el Plan Anual de Bienestar e Incentivos de la entidad para la vigencia 2017, el cual busca mejorar la calidad de vida de los funcionarios y sus familias"/>
        <s v="Adquisición de elementos de seguridad y salud en el trabajo, de conformidad con las especificaciones técnicas requeridas por la entidad"/>
        <s v="Prestar el servicio para la realización de los exámenes médicos ocupacionales requeridos por la entidad, en desarrollo del Programa de Seguridad y Salud en el Trabajo"/>
        <s v="Prestar servicios de apoyo a la gestión para adelantar la  formación requerida por los integrantes de la Brigada de Emergencias de la RAPE - Región Central"/>
        <s v="Adición No. 3 al contrato 024 de 2016 cuyo objeto es: &quot;Prestar el servicio de transporte público terrestre automotor especial para desarrollar las actividades de la Región Administrativa y de Planeación Especial RAPE - Región Central &quot;"/>
        <s v="Contratar la intermediación de seguros y asesoría para el manejo del programa de seguros de la Región Administrativa y de Planeación Especial - RAPE Región Central"/>
        <s v="Adición No. 4 al contrato 024 de 2016 cuyo objeto es: &quot;Prestar el servicio de transporte público terrestre automotor especial para desarrollar las actividades de la Región Administrativa y de Planeación Especial RAPE - Región Central &quot;"/>
        <s v="Contratar bajo el sistema de precios unitarios fijos sin formula de reajuste las obras de restauración ecológica y reconversión productiva en los complejos de páramos de la Región Central, integrados en los grupos que se detallan en el componente técnico del proceso."/>
        <s v="Contratar la compra de materiales como insumos necesarios para lograr los objetivos del programa de monitoreo y seguimient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
        <s v="Prestar servicios profesionales para ejercer la Dirección Técnica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
        <s v="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
        <s v="Prestar servicios profesionales para la coordinación y seguimiento a las estrategias del componente de gestión y articulación socioambiental en el marco del proyecto Páramos de la Región Central"/>
        <s v="el marco del proyecto denominado &quot;Implementación de acciones de Conservación y Restauración de los complejos de Parámo, Bosque Alto Andino de la Región Central."/>
        <s v="Presetar los servicios para la formulación y ejecución de una Estrategia de Comunicaciones para el Proyecto Páramos de la Región central "/>
        <s v="Prestar servicios profesionales para la gestión y  actualización  de comunidades virtuales on line y redes sociales del proyecto Páramos de la Región Central"/>
        <s v="Prestar servicios profesionales para formular la estrategia pedagógica y de comunicaciones del proyecto Páramos"/>
        <s v="Prestar los servicios para el apoyo en el desarrollo de los talleres de educación ambiental en el territorio asignado en el marco del proyecto denominado &quot;Implementación de acciones de Conservación y Restauración de los complejos de Parámo, Bosque Alto Andino de la Región Central."/>
        <s v="Prestar los servicios para realizar talleres de educación ambiental comunitaria a niños y lideres ambientales en el marco del proyecto Paramos de la Región Central"/>
        <s v="Prestar servicios profesionales para coordinar todas las actividades de carácter administrativo y financiero para el desarrollo y gestión de los recursos administrativos, humanos, físicos, documentales, tecnológicos y financieros encaminados a cumplir con el proyecto denominado “Implementación de Acciones de Conservación y Restauración de los Complejos de páramo, Bosque alto- Andino y servicios ecosistémicos de la Región Central Implementación de Acciones de Conservación y Restauración de los complejos de Páramo, Bosque Alto Andino y restauración de los complejos de Paramo”"/>
        <s v="Prestación de servicios profesionales para la proyección, revisión, análisis y orientación en los asuntos legales que surjan de la ejecución del proyecto “Implementación de acciones de conservación y restauración de los complejos de páramo, bosque alto andino y restauración de los complejos de páramo” aprobado por el Sistema General de Regalías, relacionados con la estructuración de conceptos jurídicos, atención de consultas y emisión de directrices jurídicas; así como la elaboración y estudio de actos administrativos y demás actuaciones legales y jurídicas que se deban adelantar en el marco de la gestión pre contractual, contractual y poscontractual."/>
        <s v="Prestar servicios técnicos de apoyo a la gestión administrativa y operativa, para el desarrollo de las actividades requeridas en el marco de los procesos administrativos, técnicos y operativos del proyecto de acciones de conservación y restauración de páramos."/>
        <s v="Prestación de servicios de apoyo para el desarrollo de los procesos y procedimientos administrativos, técnicos y operativos que se requieran en la ejecución del proyecto para el grupo de complejo de páramos que le sea asignado."/>
        <s v="Prestar apoyo operativo para el desarrollo de las actividades requeridas en el marco de los procesos administrativos y técnicos del proyecto Páramos de la Región Central. "/>
        <s v="Prestar el servicio de aseo y cafetería, incluyendo el suministro de los elementos necesarios para el mismo, para el proyecto Páramos de la Región Administrativa y de Planeación Especial  RAPE - Región Central"/>
        <s v="Contratar el arrendamiento del bien inmueble donde funcionaran las oficinas del Proyecto Páramos"/>
        <s v="Servicio Publicos"/>
        <s v="Contratar el alquiler e instalación de equipos de cómputo que incluya mantenimiento preventivo, correctivo y soporte técnico, de conformidad con las especificaciones técnicas establecidas por el proyecto Páramos de la Región Administrativa y de Planeación Especial - RAPE - Región Central"/>
        <s v="Contratar la compra e instalación de mobiliario para la adecuación de la sede del  proyecto Páramos de la Región Administrativa y de Planeación Especial - RAPE - Región Central"/>
        <s v="Suscripción de herramientas colaborativas del licenciamiento office 365 para el proyeto Páramos "/>
        <s v="Prestar el servicio de transporte público terrestre automotor especial para desarrollar las actividades del proyecto Páramos de la Región Administrativa y de Planeación Especial RAPE - Región Central "/>
        <s v="Prestar servicios de apoyo a la Gestión Social en el marco del proyecto Paramos de la Región Central en el Subnodo 5" u="1"/>
        <s v="Aunar esfuerzos técnicos, administrativos y finanacieros para el diseño de un programa de incentivos a la conservación ecológica, que permita desarrollar el modelo de pagos por Servicios Ambientales de la Región Central, mediante la implementación de pilotos en áreas focalizadas de 2 municipios en el territorio de los asociados de la RAPE - Región Central." u="1"/>
        <s v="Prestar servicios de apoyo a la Gestión Social en el marco del proyecto Paramos de la Región Central en el Subnodo 7" u="1"/>
        <s v="Prestar servicios de apoyo a la Gestión Social en el marco del proyecto Paramos de la Región Central en el Subnodo 9" u="1"/>
        <s v="Adición y prórroga  alk contrato 068-2017 cuyo opbjeto es: &quot;Prestar servicios tecnicos y operativos de apoyo a la gestión para el desarrollo de los proyectos de la Region Central&quot;" u="1"/>
        <s v="Aunar esfuerzos técnicos, administrativos y económicos entre la Corporación Autónoma Regional de Cundinamarca – CAR, la Región Administrativa y de Planeación Especial – RAPE Región Central y la Corporación para el Manejo Sostenible de los Bosques – MASBOSQUES, para implementar y consolidar el esquema BanCO2® “Servicios Ambientales Comunitarios” en las áreas de importancia estratégica de la jurisdicción CAR." u="1"/>
        <s v="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 4" u="1"/>
        <s v="Prestar servicios profesionales para  apoyar la identificación y  análisis del desarrollo regional en la estructuración técnica de proyectos de inversión del  Banco de Programas y Proyectos de la Región Central que articule los territorios de las entidades asociadas" u="1"/>
        <s v="Prestar servicios de apoyo a la Gestión Social en el marco del proyecto Paramos de la Región Central en el Subnodo 20" u="1"/>
        <s v="Prestar servicios de apoyo a la Gestión Social en el marco del proyecto Paramos de la Región Central en el Subnodo 21" u="1"/>
        <s v="Prestar servicios de apoyo a la Gestión Social en el marco del proyecto Paramos de la Región Central en el Subnodo 22" u="1"/>
        <s v="Prestar los servicios para el apoyo en el desarrollo de los talleres de educación ambiental en el grupo 1" u="1"/>
        <s v="Prestar los servicios para el apoyo en el desarrollo de los talleres de educación ambiental en el grupo 2" u="1"/>
        <s v="Prestar servicios de apoyo a la gestión Social en el marco del proyecto Paramos de la Región Central en el Subnodo 2" u="1"/>
        <s v="Prestar servicios de apoyo a la Gestión Social en el marco del proyecto Paramos de la Región Central en el Subnodo 4" u="1"/>
        <s v="Suscripción de herramientas colaborativas del licenciamiento office 365 (Páramos)" u="1"/>
        <s v="Prestar los servicios para el apoyo en el desarrollo de los talleres de educación ambiental en el grupo 3" u="1"/>
        <s v="Prestar servicios de apoyo a la Gestión Social en el marco del proyecto Paramos de la Región Central en el Subnodo 6" u="1"/>
        <s v="Prestar servicios de apoyo a la Gestión Social en el marco del proyecto Paramos de la Región Central en el Subnodo 8" u="1"/>
        <s v="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 1" u="1"/>
        <s v="Prestar los servicios para el apoyo en el desarrollo de los talleres de educación ambiental en el grupo 4" u="1"/>
        <s v="Prestar los servicios para el apoyo en el desarrollo de los talleres de educación ambiental en el grupo 5" u="1"/>
        <s v="Prestar servicios de apoyo a la Gestión Social en el marco del proyecto Paramos de la Región Central en el Subnodo 10" u="1"/>
        <s v="Prestar servicios de apoyo a la Gestión Social en el marco del proyecto Paramos de la Región Central en el Subnodo 11" u="1"/>
        <s v="Prestar servicios de apoyo a la Gestión Social en el marco del proyecto Paramos de la Región Central en el Subnodo 12" u="1"/>
        <s v="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 2" u="1"/>
        <s v="Prestar servicios de apoyo a la Gestión Social en el marco del proyecto Paramos de la Región Central en el Subnodo 13" u="1"/>
        <s v="Prestar servicios de apoyo a la Gestión Social en el marco del proyecto Paramos de la Región Central en el Subnodo 14" u="1"/>
        <s v="Prestar servicios de apoyo a la Gestión Social en el marco del proyecto Paramos de la Región Central en el Subnodo 15" u="1"/>
        <s v="Licencia para el PC" u="1"/>
        <s v="Prestar servicios de apoyo a la Gestión Social en el marco del proyecto Paramos de la Región Central en el Subnodo 16" u="1"/>
        <s v="Prestar servicios de apoyo a la Gestión Social en el marco del proyecto Paramos de la Región Central en el Subnodo 1" u="1"/>
        <s v="Prestar servicios de apoyo a la Gestión Social en el marco del proyecto Paramos de la Región Central en el Subnodo 17" u="1"/>
        <s v="Prestar servicio profesionales de sensibilización y/o capacitación que contribuyan con la fundamentación del Sistema de Gestión de Calidad de acuerdo a la normatividad vigente - NTC GP 1000 - ISO 9001 teniendo en cuenta su relación con el Modelo Estándar de Control Interno MECI 1000:2014." u="1"/>
        <s v="Prestar servicios de apoyo a la Gestión Social en el marco del proyecto Paramos de la Región Central en el Subnodo 18" u="1"/>
        <s v="Prestar servicios de apoyo a la Gestión Social en el marco del proyecto Paramos de la Región Central en el Subnodo 3" u="1"/>
        <s v="Prestar servicios de apoyo a la Gestión Social en el marco del proyecto Paramos de la Región Central en el Subnodo 19" u="1"/>
        <s v="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 3" u="1"/>
      </sharedItems>
    </cacheField>
    <cacheField name="VALOR ESTIMADO" numFmtId="0">
      <sharedItems containsSemiMixedTypes="0" containsString="0" containsNumber="1" minValue="0" maxValue="23775081682" count="178">
        <n v="31753333"/>
        <n v="0"/>
        <n v="44000000"/>
        <n v="16500000"/>
        <n v="30000000"/>
        <n v="48000000"/>
        <n v="23608000"/>
        <n v="4721600"/>
        <n v="54000000"/>
        <n v="42000000"/>
        <n v="81000000"/>
        <n v="9000000"/>
        <n v="22000000"/>
        <n v="1906667"/>
        <n v="12600000"/>
        <n v="300000000"/>
        <n v="50000000"/>
        <n v="13500000"/>
        <n v="250000000"/>
        <n v="23466666"/>
        <n v="350000000"/>
        <n v="2266667"/>
        <n v="36000000"/>
        <n v="18000000"/>
        <n v="33000000"/>
        <n v="11000000"/>
        <n v="5500000"/>
        <n v="5583333"/>
        <n v="32167457"/>
        <n v="14070500"/>
        <n v="3850000"/>
        <n v="10000000"/>
        <n v="3083333"/>
        <n v="1833333"/>
        <n v="3666667"/>
        <n v="18500000"/>
        <n v="456572072"/>
        <n v="11169866"/>
        <n v="2236770"/>
        <n v="25500000"/>
        <n v="1900000"/>
        <n v="28000000"/>
        <n v="39000000"/>
        <n v="25200000"/>
        <n v="26500000"/>
        <n v="24000000"/>
        <n v="8000000"/>
        <n v="370000000"/>
        <n v="55000000"/>
        <n v="21830134"/>
        <n v="70000000"/>
        <n v="35000000"/>
        <n v="7000000"/>
        <n v="150000000"/>
        <n v="73000000"/>
        <n v="26000000"/>
        <n v="20000000"/>
        <n v="7200000"/>
        <n v="6000000"/>
        <n v="32763230"/>
        <n v="41490572"/>
        <n v="21600000"/>
        <n v="10800000"/>
        <n v="40800000"/>
        <n v="31000000"/>
        <n v="12500000"/>
        <n v="27000000"/>
        <n v="15000000"/>
        <n v="14000000"/>
        <n v="90000000"/>
        <n v="40000000"/>
        <n v="15250000"/>
        <n v="21000000"/>
        <n v="35200000"/>
        <n v="8800000"/>
        <n v="8549555"/>
        <n v="12000000"/>
        <n v="7263333"/>
        <n v="736667"/>
        <n v="45569682"/>
        <n v="73719800"/>
        <n v="8255226"/>
        <n v="14126577"/>
        <n v="72752238"/>
        <n v="16000000"/>
        <n v="45500000"/>
        <n v="22750000"/>
        <n v="9898397"/>
        <n v="21280200"/>
        <n v="41000000"/>
        <n v="32800000"/>
        <n v="4000000"/>
        <n v="32500000"/>
        <n v="4800000"/>
        <n v="6400445"/>
        <n v="6593200"/>
        <n v="98000000"/>
        <n v="110000000"/>
        <n v="27466658"/>
        <n v="5433800"/>
        <n v="7973000"/>
        <n v="38000000"/>
        <n v="9410282"/>
        <n v="5878712"/>
        <n v="19413000"/>
        <n v="48509428"/>
        <n v="36600000"/>
        <n v="33143333"/>
        <n v="49000000"/>
        <n v="24500000"/>
        <n v="48800000"/>
        <n v="20400000"/>
        <n v="13922228"/>
        <n v="24590000"/>
        <n v="6500000"/>
        <n v="2000000"/>
        <n v="23300000"/>
        <n v="3715372"/>
        <n v="10662400"/>
        <n v="8700000"/>
        <n v="53000000"/>
        <n v="5000000"/>
        <n v="4030520"/>
        <n v="21043008"/>
        <n v="9996000"/>
        <n v="38506528"/>
        <n v="93472"/>
        <n v="1200000"/>
        <n v="24651979"/>
        <n v="62950032"/>
        <n v="5426567.5800000001"/>
        <n v="193888200"/>
        <n v="11500000"/>
        <n v="5100000"/>
        <n v="1218359"/>
        <n v="23775081682"/>
        <n v="103103690"/>
        <n v="192000000"/>
        <n v="144000000"/>
        <n v="120000000"/>
        <n v="287525638"/>
        <n v="96000000"/>
        <n v="72000000"/>
        <n v="60000000"/>
        <n v="1035020006"/>
        <n v="43200000"/>
        <n v="38400000"/>
        <n v="34914600"/>
        <n v="86622480"/>
        <n v="52800000"/>
        <n v="375006986"/>
        <n v="265190000"/>
        <n v="26366667" u="1"/>
        <n v="51253802" u="1"/>
        <n v="13600000" u="1"/>
        <n v="80000000" u="1"/>
        <n v="32000000" u="1"/>
        <n v="170000000" u="1"/>
        <n v="25000000" u="1"/>
        <n v="7467328" u="1"/>
        <n v="200000000" u="1"/>
        <n v="36976086" u="1"/>
        <n v="33346666" u="1"/>
        <n v="89100000" u="1"/>
        <n v="5317634" u="1"/>
        <n v="22500000" u="1"/>
        <n v="100000000" u="1"/>
        <n v="10950000" u="1"/>
        <n v="307662718" u="1"/>
        <n v="20506750" u="1"/>
        <n v="298100000" u="1"/>
        <n v="23500000" u="1"/>
        <n v="4784962" u="1"/>
        <n v="9500000" u="1"/>
        <n v="12090759" u="1"/>
        <n v="27500000" u="1"/>
        <n v="50400000" u="1"/>
        <n v="445000000" u="1"/>
      </sharedItems>
    </cacheField>
    <cacheField name="RUBRO" numFmtId="0">
      <sharedItems/>
    </cacheField>
    <cacheField name="FUENTE" numFmtId="0">
      <sharedItems count="3">
        <s v="Recursos propios"/>
        <s v="N/A"/>
        <s v="SGR"/>
      </sharedItems>
    </cacheField>
    <cacheField name="MODALIDAD DE SELECCIÓN" numFmtId="0">
      <sharedItems count="10">
        <s v="Contratación directa"/>
        <s v="N/A"/>
        <s v="Licitación Pública"/>
        <s v="Modificación, adición o prórroga"/>
        <s v="Mínima cuantía"/>
        <s v="Concurso de méritos"/>
        <s v="Selección Abreviada"/>
        <s v="Selección abreviada de menor cuantía"/>
        <s v="Acuerdo marco de precios"/>
        <s v="Selección abreviada de Susbasta Inversa"/>
      </sharedItems>
    </cacheField>
    <cacheField name="TIPO DE _x000a_CONTRATO" numFmtId="0">
      <sharedItems count="13">
        <s v="PSP"/>
        <s v="N/A"/>
        <s v="Convenio Interadministrativo"/>
        <s v="Servicios"/>
        <s v="Convenio"/>
        <s v="Consultoría"/>
        <s v="Bienes"/>
        <s v="Obra"/>
        <s v="Convenio de cooperación"/>
        <s v="Contrato de interventoría"/>
        <s v="ARRENDAMIENTO"/>
        <s v="Arrendamiento "/>
        <s v="Suministro"/>
      </sharedItems>
    </cacheField>
    <cacheField name="PLAZO DE EJECUCIÓN" numFmtId="0">
      <sharedItems containsMixedTypes="1" containsNumber="1" minValue="1" maxValue="24"/>
    </cacheField>
    <cacheField name="FECHA FECHA ESTIMADA PARA INICIAR EL PROCESO CONTRACTUAL" numFmtId="0">
      <sharedItems containsDate="1" containsBlank="1" containsMixedTypes="1" minDate="2007-11-01T00:00:00" maxDate="2018-11-02T00:00:00"/>
    </cacheField>
    <cacheField name="FECHA ESTIMADA DE INICIO EJECUCIÓN" numFmtId="0">
      <sharedItems containsDate="1" containsBlank="1" containsMixedTypes="1" minDate="2015-12-15T00:00:00" maxDate="2018-02-16T00:00:00"/>
    </cacheField>
    <cacheField name="ÁREA RESPONSABLE" numFmtId="0">
      <sharedItems count="4">
        <s v="Dirección Técnica"/>
        <s v="Dirección Ejecutiva - Comunicaciones"/>
        <s v="Oficina Asesora de Planeación"/>
        <s v="Dirección Corporativa"/>
      </sharedItems>
    </cacheField>
    <cacheField name="OBSERVACIONES" numFmtId="0">
      <sharedItems containsBlank="1"/>
    </cacheField>
    <cacheField name="VALOR CONTRATADO" numFmtId="0">
      <sharedItems containsString="0" containsBlank="1" containsNumber="1" containsInteger="1" minValue="0" maxValue="350000000"/>
    </cacheField>
    <cacheField name="DIFERENCIA" numFmtId="0">
      <sharedItems containsSemiMixedTypes="0" containsString="0" containsNumber="1" minValue="-0.41999999992549419" maxValue="23775081682"/>
    </cacheField>
    <cacheField name="Abogada Responsable" numFmtId="0">
      <sharedItems containsBlank="1" longText="1"/>
    </cacheField>
    <cacheField name="Dia" numFmtId="0">
      <sharedItems containsString="0" containsBlank="1" containsNumber="1" containsInteger="1" minValue="1" maxValue="30"/>
    </cacheField>
    <cacheField name="Mes" numFmtId="0">
      <sharedItems containsString="0" containsBlank="1" containsNumber="1" containsInteger="1" minValue="1" maxValue="12" count="13">
        <n v="2"/>
        <m/>
        <n v="1"/>
        <n v="4"/>
        <n v="11"/>
        <n v="3"/>
        <n v="12"/>
        <n v="7"/>
        <n v="8"/>
        <n v="10"/>
        <n v="9"/>
        <n v="6"/>
        <n v="5"/>
      </sharedItems>
    </cacheField>
    <cacheField name="Año" numFmtId="0">
      <sharedItems containsString="0" containsBlank="1" containsNumber="1" containsInteger="1" minValue="2017" maxValue="2017"/>
    </cacheField>
    <cacheField name="Estado" numFmtId="0">
      <sharedItems containsBlank="1" count="11">
        <s v="Contratado "/>
        <s v="Eliminado"/>
        <s v="Desplazamiento "/>
        <s v="Pendiente"/>
        <s v="En proceso "/>
        <s v="Contratado"/>
        <m u="1"/>
        <s v="En ejecución " u="1"/>
        <s v="Pendiente " u="1"/>
        <s v="Declarado Desierto" u="1"/>
        <s v="Publicado "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win Andres Clavijo Romero" refreshedDate="43096.489154745374" createdVersion="6" refreshedVersion="6" minRefreshableVersion="3" recordCount="240" xr:uid="{00000000-000A-0000-FFFF-FFFF00000000}">
  <cacheSource type="worksheet">
    <worksheetSource ref="A9:U249" sheet="PLAN CONTRATACIÓN 2017"/>
  </cacheSource>
  <cacheFields count="21">
    <cacheField name="No. PROCESO" numFmtId="0">
      <sharedItems containsSemiMixedTypes="0" containsString="0" containsNumber="1" containsInteger="1" minValue="1" maxValue="254" count="197">
        <n v="1"/>
        <n v="2"/>
        <n v="3"/>
        <n v="4"/>
        <n v="5"/>
        <n v="6"/>
        <n v="7"/>
        <n v="8"/>
        <n v="9"/>
        <n v="10"/>
        <n v="11"/>
        <n v="12"/>
        <n v="89"/>
        <n v="90"/>
        <n v="91"/>
        <n v="92"/>
        <n v="93"/>
        <n v="94"/>
        <n v="125"/>
        <n v="126"/>
        <n v="127"/>
        <n v="128"/>
        <n v="129"/>
        <n v="130"/>
        <n v="131"/>
        <n v="132"/>
        <n v="133"/>
        <n v="13"/>
        <n v="14"/>
        <n v="15"/>
        <n v="16"/>
        <n v="17"/>
        <n v="18"/>
        <n v="19"/>
        <n v="20"/>
        <n v="95"/>
        <n v="96"/>
        <n v="97"/>
        <n v="120"/>
        <n v="134"/>
        <n v="135"/>
        <n v="136"/>
        <n v="137"/>
        <n v="138"/>
        <n v="139"/>
        <n v="140"/>
        <n v="141"/>
        <n v="144"/>
        <n v="251"/>
        <n v="21"/>
        <n v="22"/>
        <n v="23"/>
        <n v="24"/>
        <n v="25"/>
        <n v="98"/>
        <n v="124"/>
        <n v="142"/>
        <n v="26"/>
        <n v="27"/>
        <n v="28"/>
        <n v="29"/>
        <n v="30"/>
        <n v="31"/>
        <n v="32"/>
        <n v="99"/>
        <n v="100"/>
        <n v="101"/>
        <n v="143"/>
        <n v="145"/>
        <n v="146"/>
        <n v="147"/>
        <n v="148"/>
        <n v="149"/>
        <n v="150"/>
        <n v="151"/>
        <n v="171"/>
        <n v="172"/>
        <n v="173"/>
        <n v="182"/>
        <n v="185"/>
        <n v="252"/>
        <n v="253"/>
        <n v="33"/>
        <n v="34"/>
        <n v="35"/>
        <n v="36"/>
        <n v="37"/>
        <n v="38"/>
        <n v="39"/>
        <n v="102"/>
        <n v="103"/>
        <n v="104"/>
        <n v="105"/>
        <n v="106"/>
        <n v="107"/>
        <n v="108"/>
        <n v="109"/>
        <n v="110"/>
        <n v="111"/>
        <n v="112"/>
        <n v="113"/>
        <n v="114"/>
        <n v="115"/>
        <n v="116"/>
        <n v="152"/>
        <n v="153"/>
        <n v="154"/>
        <n v="155"/>
        <n v="156"/>
        <n v="157"/>
        <n v="40"/>
        <n v="41"/>
        <n v="42"/>
        <n v="43"/>
        <n v="44"/>
        <n v="45"/>
        <n v="46"/>
        <n v="47"/>
        <n v="48"/>
        <n v="49"/>
        <n v="50"/>
        <n v="51"/>
        <n v="52"/>
        <n v="53"/>
        <n v="54"/>
        <n v="55"/>
        <n v="56"/>
        <n v="57"/>
        <n v="58"/>
        <n v="59"/>
        <n v="60"/>
        <n v="61"/>
        <n v="62"/>
        <n v="86"/>
        <n v="88"/>
        <n v="117"/>
        <n v="118"/>
        <n v="123"/>
        <n v="158"/>
        <n v="159"/>
        <n v="160"/>
        <n v="161"/>
        <n v="162"/>
        <n v="163"/>
        <n v="164"/>
        <n v="165"/>
        <n v="166"/>
        <n v="167"/>
        <n v="168"/>
        <n v="169"/>
        <n v="170"/>
        <n v="174"/>
        <n v="175"/>
        <n v="176"/>
        <n v="177"/>
        <n v="178"/>
        <n v="179"/>
        <n v="183"/>
        <n v="243"/>
        <n v="244"/>
        <n v="245"/>
        <n v="246"/>
        <n v="247"/>
        <n v="248"/>
        <n v="63"/>
        <n v="64"/>
        <n v="65"/>
        <n v="66"/>
        <n v="67"/>
        <n v="180"/>
        <n v="68"/>
        <n v="121"/>
        <n v="254"/>
        <n v="69"/>
        <n v="70"/>
        <n v="71"/>
        <n v="72"/>
        <n v="73"/>
        <n v="74"/>
        <n v="181"/>
        <n v="75"/>
        <n v="76"/>
        <n v="77"/>
        <n v="249"/>
        <n v="250"/>
        <n v="78"/>
        <n v="79"/>
        <n v="122"/>
        <n v="184"/>
        <n v="80"/>
        <n v="81"/>
        <n v="82"/>
        <n v="83"/>
        <n v="84"/>
        <n v="85"/>
        <n v="87"/>
        <n v="119"/>
      </sharedItems>
    </cacheField>
    <cacheField name="FUNCIONAMIENTO/INVERSIÓN" numFmtId="0">
      <sharedItems count="7">
        <s v="Sustentabilidad ecosistémica y manejo de riesgos"/>
        <s v="Seguridad alimentaria y desarrollo rural"/>
        <s v="Infraestructuras de transporte, logística y servicios públicos"/>
        <s v="Competitividad y proyección internacional"/>
        <s v="Gobernanza y buen gobierno"/>
        <s v="Fortalecimiento institucional"/>
        <s v="Funcionamiento"/>
      </sharedItems>
    </cacheField>
    <cacheField name="META PLAN DE ACCIÓN 2017" numFmtId="0">
      <sharedItems/>
    </cacheField>
    <cacheField name="OBJETO CONTRACTUAL" numFmtId="0">
      <sharedItems count="255" longText="1">
        <s v="Prestar servicios profesionales en la definición de perfiles, tipificación y construcción de propuestas de proyectos relacionados con la adaptación al cambio climático, bajo el diseño de instrumentos de información, planificación, gestión ambiental y de riesgo"/>
        <s v="Aunar esfuerzos técnicos, administrativos y finacieros para la implementación del modelo de PSA o de incentivos a la conservación en la Región Central. "/>
        <s v="Diseñar e implementar en la Región Central una estrategia de cambio cultural orientada al cuidado del agua y asociada a la adaptación y mitigación del cambio climático"/>
        <s v="Prestar servicios profesionales para la construcción de la línea base y estado del arte de los instrumentos de planificación y de ordemaniento y manejo del recurso hídrico de la Región"/>
        <s v="Formular, gestionar e implementar un proyecto regional de guardapáramos y de implementación del modelo de PSA o de incentivos para la conservación del recurso hídrico en la Región Central"/>
        <s v="Prestar servicios profesionales para la coordinación y seguimiento a las estrategias que se deben implementar en el proceso de abordaje e inserción comunitaria en las áreas de páramo de la Región Central"/>
        <s v="Prestar servicios profesionales para el diseño y apoyo a los programas en reconversión productiva con el enfoque de buenas prácticas ganaderas en ecosistemas de alta montaña"/>
        <s v="Prestar servicios profesionales para el diseño y apoyo a los programas en reconversión productiva con el enfoque de buenas prácticas ambientales y agropecuarias en ecosistemas sensibles"/>
        <s v="Prestar servicios técnicos de apoyo a la gestión para el abordaje e inserción comunitaria para la protección del recurso hídrico de la Región Central en las áreas que le sean definidas "/>
        <s v="Adición y prórroga al contrato 040-2017 cuyo objeto es: &quot;Prestar servicios técnicos de apoyo a la gestión para el abordaje e inserción comunitaria para la protección del recurso hídrico de la Región Central en las áreas que le sean definidas&quot;."/>
        <s v="Adición y prórroga al contrato 038-2017 cuyo objeto es: &quot;Prestar servicios técnicos de apoyo a la gestión para el abordaje e inserción comunitaria para la protección del recurso hídrico de la Región Central en las áreas que le sean definidas&quot;"/>
        <s v="Prestar servicios profesionales para la identificación y estructuración de proyectos ambientales en la Región"/>
        <s v="Gastos de desplazamiento"/>
        <s v="Prestar servicios  profesionales para apoyar el proceso de identificación y caracterización de los actores sociales y ambientales de la Región Central en el marco del Proyecto Páramos"/>
        <s v="Prestar servicios profesionales en lo relacionado con temas de reconversión productiva en áreas de páramo y bosque alto andino en la Región Central"/>
        <s v="Prestar servicios profesionales en lo relacionado con temas de restauración ecológica en áreas de páramo y bosque alto andino en la Región Central"/>
        <s v="Prestar servicios profesionales de verificación de trabajo en campo, en los temas de restauración y reconversión productiva en áreas de páramo y bosque alto andino en la Región Central"/>
        <s v="Adición No. 1 al contrato No. 30 de 2017 cuyo objeto es &quot;Prestar servicios profesionales de verificación de trabajo en campo, en los temas de restauración y reconversión productiva en áreas de páramo y bosque alto andino en la Región Central&quot;"/>
        <s v="Prestar servicios profesionales en el proceso de planificación, seguimiento y monitoreo del presupuesto del proyecto  de páramos y de los proyectos asociados a éste y apoyo técnico de confromidad con lo dispuesto por el sistema GESPROY del Sistema General de Regalías"/>
        <s v="&quot;Adición y prórroga al contrato 071-17 cuyo objeto es &quot;Prestar servicios profesionales en el proceso de planificación, seguimiento y monitoreo del presupuesto del proyecto  de páramos y de los proyectos asociados a éste y apoyo técnico de confromidad con lo dispuesto por el sistema GESPROY del Sistema General de Regalías&quot;"/>
        <s v="Prestar servicios técnicos de apoyo a la gestión social, enfocada a la educación ambiental y el abordaje e inserción comunitaria en las áreas de páramo de la Región Central que le sean definidas "/>
        <s v="Prestar servicios técnicos de apoyo a la gestión para el abordaje e inserción comunitaria para la protección del recurso hídrico de la Región Central en las áreas que le sean asignadas. "/>
        <s v="Prestar servicios profesionales y de apoyo a la gestión en la caracterización, control y seguimiento a los predios donde se implementará el modelo de PSA o de incentivos a la conservación en la Región Central."/>
        <s v="Aunar esfuerzos técnicos, administrativos y finanacieros para el diseño de un programa de incentivos a la conservación ecológica, que permita desarrollar el modelo de pagos por Servicios Ambientales de la Región Central, mediante la implementación de pilotos en áreas focalizadas de 3 municipios en el territorio de los asociados de la RAPE - Región Central."/>
        <s v="Aunar esfuerzos técnicos, administrativos y económicos entre la Corporación Autónoma Regional de Cundinamarca – CAR, la Región Administrativa y de Planeación Especial – RAPE Región Central, la Corporación para el Manejo Sostenible de los Bosques – MASBOSQUES, así como aquellas entidades  establecidas en el artículo 2 del Decreto Ley 870 de 2017, para implementar y consolidar el esquema BanCO2® “Servicios Ambientales Comunitarios” en las áreas de importancia estratégica de la jurisdicción CAR"/>
        <s v="Prestar servicios profesionales para apoyo a la gestión del Eje de Sustentabilidad Ecosistémica y Manejo de Riesgos y cambio climático"/>
        <s v="Garantizar la participación de la Región Administrativa y de Planeación Especial RAPE Región Central en el “Congreso Internacional de Páramos y Ecosistemas de Montaña: “Hacia una visión regional de las montañas andinas” y reunión regional de las partes “Agenda Estratégica de Adaptación al Cambio Climático en los Andes”, como estrategia para la gestión del conocimiento y la innovación Ambiental"/>
        <s v="Prestar los servicios profesionales para apoyar el proceso de elaboración e implementación del Proyecto regional de voluntariado de guardapáramos "/>
        <s v="Puesta en marcha  e implementación del programa de voluntariado para la conservación de los páramos de la Región Central"/>
        <s v="Prestar servicios profesionales para la identificación de los elementos para la conectividad de la estructura ecológica regional de soporte"/>
        <s v="Adición y prórroga al Convenio 051 de 2015 (UTF/COL/072/COL-FAO) cuyo objeto es la “Estrategia de Seguridad Alimentaria y Economía Rural para la Región Central de Colombia”"/>
        <s v="Adición y prórroga No. 7 al Convenio 051 de 2015 (UTF/COL/072/COL-FAO) cuyo objeto es la “Estrategia de Seguridad Alimentaria y Economía Rural para la Región Central de Colombia”"/>
        <s v="Prestar servicios profesionales para llevar a cabo la coordinación y seguimiento a los procesos que se desarrollen en el marco de los planes, programas y proyectos ejecutados de conformidad con las políticas de seguridad alimentaria"/>
        <s v="Prestar servicios profesionales para la estructuración y puesta en marcha de una estrategia para la implementación del proyecto de compras institucionales"/>
        <s v="Implementar el proyecto de &quot;Mercados campesinos y Cambio Verde&quot; en la Región Central, como medida de mitigación del cambio climático y de mejoramiento del acceso a los alimentos por parte de la población vulnerable y fortalecimiento de canales de comercialización  "/>
        <s v="Adición y prórroga al contrato 037-17 cuyo objeto es: &quot;Prestar servicios profesionales para la estructuración y puesta en marcha de una estrategia para la implementación del proyecto de compras institucionales&quot;"/>
        <s v="Prestar servicios profesionales de apoyo técnico en temas de reconversión productiva y buenas prácticas agropecuarias en el marco de los proyectos que desarrolle la entidad"/>
        <s v="Adición y prórroga al Contrato 048-17 cuyo objeto es: &quot;Prestar servicios profesionales de apoyo técnico en temas de reconversión productiva y buenas prácticas agropecuarias en el marco de los proyectos que desarrolle la entidad&quot;"/>
        <s v="Adición y prórroga No 2 al Contrato 048-17 cuyo objeto es: &quot;Prestar servicios profesionales de apoyo técnico en temas de reconversión productiva y buenas prácticas agropecuarias en el marco de los proyectos que desarrolle la entidad&quot;"/>
        <s v="Prestar servicios técnicos y operativos de apoyo  a la gestión para el desarrollo de los proyectos de la Región Central"/>
        <s v="Prestar servicios profesionales para elaborar e implementar el modelo de ejecución y programación técnica, operativa y financiera del proyecto de mejoramiento de ingresos para pequeños productores"/>
        <s v="Prestar servicios profesionales en lo relacionado con temas de asistencia técnica agropecuaria en áreas rurales de la Región Central en el marco del proyecto mejoramiento de ingresos a pequeños productores"/>
        <s v="Prestar servicios para la identificación de familias beneficiarias, en el marco del proyecto de mejoramiento de ingresos a pequeños productores"/>
        <s v="Adición No. 1  Convenio Asociación No. 379 de 2016 cuyo objeto es &quot;Aunar esfuerzos técnicos, administrativos y financieros para la comercialización directa de los productos agropecuarios de la ruralidad de Bogotá y la Región Central, a través de la estrategia de Mercados Campesinos del Plan maestro de Abastecimiento de alimentos y Seguridad Alimentaria de Bogotá - PMASAB, favoreciendo la disponibilidad y el acceso de alimentos de la canasta basica, a los ciudadanos de Bogotá&quot;"/>
        <s v="Prestar servicios profesionales para apoyar las actividades relacionadas con los procesos de agronegocios para el desarrollo del Sistema de compras institucionales"/>
        <s v="Adición y Prórroga al contrato No. 78 de 2017 cuyo objeto es &quot;Prestar servicios profesionales para apoyar las actividades relacionadas con los procesos de agronegocios para el desarrollo del Sistema de compras institucionales&quot;"/>
        <s v="Prestar servicios profesionales para la implementación del proyecto de intercambio de material potencialmente reciclable por alimentos"/>
        <s v="Adición y pórroga del contrato 076-2017 cuyo objeto es: &quot;Prestar servicios profesionales para la implementación del proyecto de intercambio de material potencialmente reciclable por alimentos&quot;"/>
        <s v="Prestar servicios técnicos  de apoyo en la implementación del proyecto de intercambio de material potencialmente reciclable por productos agrícolas, en el territorio de la Región Central asignado"/>
        <s v="Adición y Prórroga al contrato 072-2017 cuyo objeto es &quot;Prestar servicios técnicos  de apoyo en la implementación del proyecto de intercambio de material potencialmente reciclable por productos agrícolas, en el territorio de la Región Central asignado&quot;"/>
        <s v="Prestar servicios profesionales para el desarrollo de la estrategia de implementación de intercambio de material potencialmente reciclable por alimentos en el territorio asignado de la Región Central"/>
        <s v="Prestar servicios tecnicos y operativos de apoyo a la gestión para el desarrollo de los proyectos de la Region Central"/>
        <s v="Adición y prórroga  al contrato 068-2017 cuyo opbjeto es: &quot;Prestar servicios tecnicos y operativos de apoyo a la gestión para el desarrollo de los proyectos de la Region Central&quot;"/>
        <s v="Contratar la prestación del servicio de transporte para la realización de los mercados campesinos de la Región Central"/>
        <s v="Adición y prórroga del contrato 43 de 2017 cuyo objeto es Prestar servicios profesionales para llevar a cabo la coordinación y seguimiento a los procesos que se desarrollen en el marco de los planes, programas y proyectos ejecutados de conformidad con las políticas de seguridad alimentaria"/>
        <s v="Realizar la identificación y localización de familias beneficiaras del proyecto de mejoramiento de ingresos de los pequeños productores rurales de la Región Central"/>
        <s v="Adición No. 1 del contrato 099-2017 cuyo objeto es: &quot;Desarrollar y ejecutar una  estrategia de marketing y comunicación 360º que incluya  la producción  y emisión de  microprogramas  de televisión y  video, estrategias de marketing digital –on line- y un plan de medios de comunicación para la promoción de los proyectos de la Región Central.&quot;"/>
        <s v="Prestación de Servicios artísticos  para la puesta en marcha de una estrategia comunicativa BTL de performance artístico donde se visibilicen las manifestaciones socioculturales de los territorios asociados a la Región Central RAP-E (Bogotá D,C., Cundinamarca, Boyacá, Tolima y Meta)."/>
        <s v="Aunar esfuerzos técnicos, administrativos y financieros que permitan propiciar iniciativas de facilitación logística urbano – regional para mejorar la competitividad de las empresas, a través de la articulación entre el sector público, privado y la academia"/>
        <s v="Contratar la ejecución de acciones de mejoramiento logístico en las cadenas de abastecimiento de la Región Central"/>
        <s v="Prestar servicios profesionales en el proceso de estructuración financiera y operativa de proyectos de conectividad multimodal regional del Plan Maestro de Transporte Intermodal de la Región Central"/>
        <s v="Desarrollar la estructuración financiera y operativa de proyectos de la Región Central relacionados con el eje de Infraestructuras de transporte, logística y servicios públicos"/>
        <s v="Prestar servicios profesionales para desarrollar la gestión interinstitucional requerida para la formulación de proyectos de conectividad multimodal y logística en el territorio de la Región Central"/>
        <s v="Prestar servicios profesionales pare el apoyo técnico ambiental para los proyectos de infraestructura de la región central"/>
        <s v="Prestar servicios profesionales para la planeación, ejecución y seguimiento de los proyectos relacionados con fortalecer la conectividad  intermodal y logística de la Región Central"/>
        <s v="Prestar servicios profesionales para el acompañamiento en el desarrollo de los temas propios del sector turístico en la Región Central"/>
        <s v="Prestar servicios profesionales para acompañar el diseño de la estrategia de articulación de los actores gremiales de los territoriales de la Región Central y en general, los temas asociados a la competitividad"/>
        <s v="Adición No. 1 al Contrato No. 33 de 2017 &quot;Prestar servicios profesionales para acompañar el diseño de la estrategia de articulación de los actores gremiales de los territorios de la Región Central y en general, los temas asociados a la competitividad&quot;"/>
        <s v="Aunar esfuerzos técnicos, administrativos y financieros para la implementacion de un proyecto de la agenda de especializacion inteligente"/>
        <s v="Prestar servicios profesionales para desarrollar acciones de promoción del turismo en la Región Central, a través de medios digitales"/>
        <s v="Desarrollar acciones para la promoción del turismo de naturaleza en la Región Central a través de expediciones"/>
        <s v="Diseño e implementación del producto turistico asociado a turismo de naturaleza"/>
        <s v="Prestar servicios profesionales para asesorar en los proyectos y temas relacionados con la agenda internacional de la Región Central"/>
        <s v="Aunar esfuerzos técnicos, administrativos y financieros para el fortalecimiento de las capacidades de asociación y gestión de las organizaciones de productores de la Región Central"/>
        <s v="Prestar servicios de apoyo a la gestión para la organización, producción y puesta en marcha de los eventos  que debe desarrollar la entidad, en el marco de los proyectos de promoción de turismo"/>
        <s v="Adición No. 1 al Contrato No. 57 de 2017 &quot;Prestar servicios de apoyo a la gestión para la organización, producción y puesta en marcha de los eventos  que debe desarrollar la entidad, en el marco de los proyectos de promoción de turismo&quot;"/>
        <s v="Producción e instalación de la señalización para las rutas de biciturismo de acuerdo al plan diseñado por la Región Central"/>
        <s v="Desarrollar y ejecutar una  estrategia de marketing y comunicación 360º que incluya  la producción  y emisión de  microprogramas  de televisión y  video, estrategias de marketing digital –on line- y un plan de medios de comunicación para la promoción de los proyectos de la Región Central."/>
        <s v="Planeación y producción de un evento de lanzamiento de las rutas de biciturismo de la Región Central"/>
        <s v="Diseño de un producto turístico asociado a rutas de biciturismo en la Región Central e implmentación de acciones de fortalecimiento a comunidades locales como operadores del producto"/>
        <s v="Prestar servicios profesionales para apoyar el Eje Competitividad y Proyección Internacional en lo relacionado a los productos turístico de la Ruta del Dorado y BiciRegión de la Región Central"/>
        <s v="Adición y prórroga al contrato 075-2017 cuyo objeto es: &quot;Prestar servicios profesionales para apoyar el Eje Competitividad y Proyección Internacional en lo relacionado a los productos turístico de la Ruta del Dorado y BiciRegión de la Región Central&quot;"/>
        <s v="Estudio de prefactibilidad para la estructuración del proyecto de la Ruta de Integración para la paz en la Región Central"/>
        <s v="Prestar los servicios de operación logística en el marco del programa de competitividad y proyección internacional, de acuerdo con las especificaciones técnicas definidas por la Región Central"/>
        <s v="Adición y prórroga 1 al contrato No. 114 cuyo objeto es &quot;Prestar los servicios de operación logística en el marco del programa de competitividad y proyección internacional, de acuerdo con las especificaciones técnicas definidas por la Región Central&quot;"/>
        <s v="Prestar servicios profesionales para apoyar al eje Competitividad y Proyección Internacional en las acciones de formulación de los proyectos relacionados con turismo en la Región Central"/>
        <s v="Aunar esfuerzos para el desarrollo de un programa de innovación en proceso productivo para obtener un café diferenciado con alto valor agregado para el  departamento del Tolima"/>
        <s v="Prestar servicios profesionales para la elaboración de los componentes museológicos, museográficos y de diseño de la ruta de integración para la paz"/>
        <s v="Prestar servicios profesionales para la articulación y gestión de actores públicos y privados en el marco del proyecto de la ruta de integración para la paz"/>
        <s v="Realizar la Interventoría técnica, administrativa, financiera, económica y legal al contrato para producción e instalación de la señalización para las rutas de biciturismo de acuerdo al plan diseñado por la Región Central"/>
        <s v="Adición y prórroga 1 al Cto 116-17 cuyo objeto es &quot;Realizar la Interventoría técnica, administrativa, financiera, económica y legal al contrato para producción e instalación de la señalización para las rutas de biciturismo de acuerdo al plan diseñado por la Región Central&quot;"/>
        <s v="Elaboración de estudios y diseños para la infraestructura física de la primera etapa ruta de integración para la Paz en la Región Central"/>
        <s v="Prestar servicios técnicos de apoyo para  la formulación del proyecto de la ruta de integración de la paz en la Región Central."/>
        <s v="Desarrollar y ejecutar una estrategia de comunicación audio visual que incluya la realización de un video institucional y la elaboración y publicación de contenidos (ATL), donde se visibilicen los planes, proyectos y programas de la Región Central RAP-E."/>
        <s v="Prestar servicios profesionales para la gestión, acompañamiento y seguimiento al desarrollo de los temas de articulación de la planeación y el ordenamiento territorial de la Región Central"/>
        <s v="Adición No. 1 al Contrato No. 34 de 2017 &quot;Prestar servicios profesionales para la gestión, acompañamiento y seguimiento al desarrollo de los temas de articulación de la planeación y el ordenamiento territorial de la Región Central&quot;"/>
        <s v="Prestar servicios profesionales para el apoyo de los procesos de planificación y ordenamiento territorial"/>
        <s v="Adición No. 1 al Contrato No. 13 de 2017 &quot;Prestar servicios profesionales para el apoyo de los procesos de planificación y ordenamiento territorial&quot;"/>
        <s v="Prestar servicios profesionales para la actualización y mantenimiento del SIG regional que garantice la elaboración de productos cartográficos"/>
        <s v="Prestar servicios profesionales para desarrollar estrategias que promuevan la mejora de las prácticas de gobierno abierto a través de ejercicios de planificación, ejecución y seguimiento a la gestión pública de los socios "/>
        <s v="Aunar esfuerzos técnicos administrativos y financieros entre el Departamento de Boyacá y la Región Administrativa y de Planeación Especial - RAPE Región Central, para la ejecución del proyecto &quot;Fortalecimiento de la institucionalidad de la Región Central a través del desarrollo e implementación de una metodología de gestión que fortalezca la capacidad gerencial en el marco del Plan de Desarrollo de la Gobernación de Boyacá&quot;"/>
        <s v="Prestar servicios profesionales para adelantar la gestión interinstitucional con las entidades competetentes y consolidar la propuesta de delegación de catastro"/>
        <s v="Prestar servicios profesionales para desarrollar acciones de enlace institucional y coordinación de agendas con el territorio asociado Bogotá D.C  y la Región Central."/>
        <s v="Prestar servicios profesionales para desarrollar acciones de enlace institucional y coordinación de agendas con el departamento de Cundinamarca como territorio asociado de la Región central"/>
        <s v="Prestar servicios profesionales para desarrollar acciones de enlace institucional y coordinación de agendas con el departamento del Meta como territorio asociado de la Región central"/>
        <s v="Prestar servicios profesionales para desarrollar acciones de enlace institucional y coordinación de agendas con el departamento de Tolima como territorio asociado de la Región central"/>
        <s v="Prestar servicios profesionales para adelantar las acciones necesarias que permitan diseñar y coordinar la estrategia de interacción requerida por la RAPE Region Central, en el marco de los acuerdos de la Habana, para la articulación entre el gobierno nacional, las entidades socias, y el sector privado interesado, enfocado al orden territorial"/>
        <s v="Prestar servicios profesionales para la identificación, abordaje e inserción de las instancias de participación en Bogotá D.C., con relación a la Región Central"/>
        <s v="Adición No. 1 al Contrato No. 41 de 2017 cuyo objeto es &quot;Prestar servicios profesionales para la identificación, abordaje e inserción de las instancias de participación en el Distrito Capital, con relación a la Región Central&quot;"/>
        <s v="Prestar servicios profesionales para la identificación, abordaje e inserción de las instancias de participación en el departamento de Cundinamarca, con relación a la Región Central"/>
        <s v="Prestar servicios profesionales para desarrollar acciones de enlace institucional, y actividades para el abordaje e inserción en las instancias de participación del departamento de Boyacá con relación a la Región Central"/>
        <s v="Prestar servicios profesionales para la identificación, abordaje e inserción de las instancias de participación en el departamento de Meta, con relación a la Región Central"/>
        <s v="Prestar servicios profesionales para la identificación, abordaje e inserción de las instancias de participación en el departamento de Tolima, con relación a la Región Central"/>
        <s v="Prestar servicios profesionales para apoyar la coordinación del proceso de identificación,  participación e inserción en las diferentes instancias de participación activas de la Región Central"/>
        <s v="Prestar servicios profesionales para el seguimiento a las acciones desarrolladas en el marco de los procesos de planificación y ordenamiento territorial de la Región Central"/>
        <s v="Prestar servicios profesionales para la actualización y mantenimiento del SIG regional que garantice la elaboración de productos cartográficos y los proyectos del catastro multipropósito"/>
        <s v="Prestar servicios profesionales de asesoría para la revisión,  validación y actualización de la propuesta jurídica, organizativa y reglamentaria de creación del Consejo de Participación de la Región Central "/>
        <s v="Prestar servicios profesionales para adelantar la gestión y el seguimiento de los proyectos, ordenanzas y acuerdos y demás actos administrativos relacionados con la misión de la Región Central"/>
        <s v="Prestar servicios profesionales para elaborar la propuesta de lineamientos de integración de la Infraestructura de Datos Espaciales Regionales (IDER) de los Departamentos de Boyacá, Meta y Tolima, de manera que puedan articularse al IDE que esperan desarrollar Bogotá y Cundinamarca"/>
        <s v="Adición y prórroga del contrato 031 de 2017 cuyo objeto es &quot;Prestar servicios profesionales para adelantar la gestión y el seguimiento de los proyectos, ordenanzas y acuerdos y demás actos administrativos relacionados con la misión de la Región Central&quot;"/>
        <s v="Prestar servicios profesionales para apoyar la coordinación de las actividades de gestión institucional y abordaje e inserción en las instancias de participación en la Región Central"/>
        <s v="Adición y prórroga del contrato 051 de 2017 cuyo objeto es &quot;Prestar servicios profesionales para la iodentificación, abordaje e inserción de las instancias de participación en el departamento de Cundinamarca, con relación a la Región Central&quot;"/>
        <s v="Adición y prórroga del contrato 047 de 2017 cuyo objeto es &quot;Prestar servicios profesionales para la identificación, abordaje e inserción de las instancias de participación en el departamento del Meta, con relación a la Región Central&quot;"/>
        <s v="Adición y prórroga del contrato 058 de 2017 cuyo objeto es &quot;Prestar servicios profesionales para desarrollar acciones de enlace institucional y coordinación de agendas con el departamento de Tolima como territorio asociado de la Región Central&quot;"/>
        <s v="Prestar servicios profesionales para elaborar e implementar el modelo de ejecución y programación técnica, operativa y financiera del proyecto de acciones de conservación y restauración de páramos."/>
        <s v="Prestar servicios profesionales de apoyo a la gestión jurídica en el marco  precontractual y contractual tendientes a contratar la ejecución de los proyectos aprobados por el Sistema General de Regalías."/>
        <s v="Prestar servicios profesionales de apoyo a la gestión jurídica que contribuya con la gestión de los procesos contractuales previstos en el marco de proyectos de inversión de la vigencia y los derivados del PER"/>
        <s v="Prestar servicios profesionales de apoyo a la gestión técnica en la elaboración de estudios previos y de mercado necesarios para contratar la ejecución de los proyectos aprobados por el Sistema General de Regalías y apoyar el seguimiento técnico  según lo dispuesto por el sistema GESPROY"/>
        <s v="Prestar servicios profesionales de apoyo para el seguimiento técnico, admninistrativo y financiero a la ejecución de los proyectos  a cargo de la Región Central"/>
        <s v="Adición y prórroga No.1 al contrato 024 de 2017 cuyo objeto es: Prestar servicios profesionales de apoyo para el seguimiento técnico, administrativo y financiero a la ejecución de los proyectos  a cargo de la Región Central"/>
        <s v="Prestar servicios profesionales para apoyar la supervisión y seguimiento administrativo, técnico y financiero de los planes y proyectos desarrollados en el marco de los ejes estratégicos de la entidad"/>
        <s v="Prestar servicios profesionales para apoyar la ejecución,  estructuración, gestión y aprobación de proyectos de inversión en ciencia, tecnología e innovación conforme a las fuentes de financiación vigentes "/>
        <s v="Prestar servicios profesionales para  la gestión y estructuración técnica de iniciativas de inversión del  Banco de Programas y Proyectos de la Región Central"/>
        <s v="Adición y prórroga al Contrato 12 de 2017 cuyo objeto es &quot;Prestar servicios profesionales para  la gestión y estructuración técnica de iniciativas de inversión del  Banco de Programas y Proyectos de la Región Central&quot;"/>
        <s v="Prestar servicios profesionales para  la formulación de proyectos de inversión derivados de los ejes estrategicos de la Región Central"/>
        <s v="Prestar servicos profesionales para el apoyo en la gestión documental, elaboración y cargue de información de proyectos en la Metodología General Ajustada (MGA) conforme con la normatividad vigente del Departamento Nacional de Planeación "/>
        <s v="Adición y prórroga No.1 al contrato 020 de 2017 cuyo objeto es: Prestar servicios profesionales para el apoyo en la gestión documental, elaboración y cargue de información de proyectos en la Metodología General Ajustada (MGA) conforme con la normatividad vigente del Departamento Nacional de Planeación "/>
        <s v="Prestar servicios profesionales para desarrollar las habilidades para ejecutar auditorias internas a un sistema de gestión de calidad para el sector público de acuerdo a los requerimientos de las normas NTC-GP 1000:2009, ISO 9001:2015 e ISO 19011:2011 y realizar la Preauditoria Externa a la RAPE Región Central en el Sistema de Gestión de Calidad con las normas vigentes"/>
        <s v="Prestar servicios profesionales para la estructuración del componente jurídico de los proyectos que contemplen la articulación de los instrumentos de ordenamiento territorial."/>
        <s v="Prestar servicios profesionales para realizar el seguimiento a los instrumentos de planeación definidos al interior de la entidad, en el marco del Sistema Integrado de Gestión"/>
        <s v="Adición y prórroga No 1 del contrato 025-2017 cuyo objeto es: &quot;Prestar servicios profesionales para realizar el seguimiento a los instrumentos de planeación definidos al interior de la entidad, en el marco del Sistema Integrado de Gestión&quot;"/>
        <s v="Prestar servicios técnicos para apoyar los canales de atención a los ususarios de la entidad"/>
        <s v="Prestar apoyo administrativo en el proceso de Servicio al Ciudadano y en lo relacionado con el manejo documental del mismo."/>
        <s v="Adición y Prórroga del contrato 088-17 cuyo Objeto es &quot;Prestar apoyo administrativo en el proceso de Servicio al Ciudadano y en lo relacionado con el manejo documental del mismo.&quot;"/>
        <s v="Prestación de servicios para la operación logística en la organización y ejecución de actividades requeridas por la entidad, en el marco de sus funciones misionales y administrativas"/>
        <s v="Contratar la adquisición, configuración, instalación, puesta en marcha y mantenimiento preventivo de los componentes tecnológicos (Servidor, impresoras y escáner) brindando la conectividad y comunicación para el sistema de gestión documental de la Región Administrativa y de Planeación Especial"/>
        <s v="Contratar el alquiler e instalación de equipos de cómputo que incluya mantenimiento preventivo, correctivo y soporte técnico, de conformidad con las especificaciones técnicas establecidas por la entidad"/>
        <s v="Adición y prórroga No. 1 al contrato 061 de 2017 cuyo objeto es: &quot;Contratar el alquiler e instalación de equipos de cómputo que incluya mantenimiento preventivo, correctivo y soporte técnico de conformidad con las especificaciones técnicas&quot;"/>
        <s v="Renovación de suscripción del software de georreferenciación con el que cuenta la entidad (Licencia ArcGis Spatial Analyst for Desktop Single Licence)"/>
        <s v="Renovación de suscripción del software de georreferenciación con el que cuenta la entidad (Soporte y Actuialización)"/>
        <s v="Adquisición de licenciamiento de project 2016 para soportar los procesos de la entidad"/>
        <s v="Adquisición de storage para el almacenamiento y seguridad de la información que produce la Región Central - RAPE"/>
        <s v="Prestar servicios profesionales para la gestión en comunicaciones, en materia de interacción con representantes de los medios de comunicación y apoyo mediático en eventos organizados por la Región Central."/>
        <s v="Prestar servicios profesionales para la gestión de comunicaciones en materia de interación con representantes  de los medios de comunicación  y apoyo mediático en eventos organizados  por la Región Central. "/>
        <s v="Prestar servicios profesionales para el diseño y desarrollo de sitios web responsive con administrados de contenidos y bases de datos"/>
        <s v="Adición  y Prorroga  Contrato 007 de 2017  Prestar servicios profesionales para el diseño  y desarrollo  de sitios web responsive con administardor de contenidos  y bases de datos.  "/>
        <s v="Prestar servicios profesionales para la elaboración y puesta en marcha de una estrategia de marketing digital a la Región Central, que abarque plataformas virtuales como página web y redes sociales"/>
        <s v="Adición y prórroga No. 1 al contrato 031 de 2016 cuyo objeto es: &quot;Contratar el alquiler e instalación de equipos de cómputo que incluya mantenimiento preventivo, correctivo y soporte técnico de conformidad con las especificaciones técnicas&quot;"/>
        <s v="Prestar servicios profesionales en materia de planeación estratégica creativa y publicitaria, desarrollo e implementación de la imagen creativa de los procesos misionales y proyectos y en las actividades de promoción y posicionamiento que requiera la Región Central"/>
        <s v="Prestar servicios profesionales para  el seguimiento e implementación de proyectos de inversión derivados de los ejes estrategicos de la Región Central"/>
        <s v="Desarrollar las acciones estrategicas para el fortalecimiento institucional a través de la cooperación y el intercambio de experiencias significativas para la Región Central"/>
        <s v="Prestar servicios profesionales para  apoyar a la entidad en el desarrollo  de la  estrategia de marketing digital de la Región Central, que incluya  el manejo de redes sociales  y  la administración de comunidades virtuales"/>
        <s v="Adición y prórroga al contrato 063-17 cuyo objeto es &quot;Prestar servicios profesionales para apoyar a la entidad en el desarrollo  de la  estrategia de marketing digital de la Región Central, que incluya  el manejo de redes sociales  y  la administración de comunidades virtuales&quot;"/>
        <s v="Prestar servicios profesionales para  la gestión de nuevas fuentes de financiación de inversión del  Banco de Programas y Proyectos de la Región Central"/>
        <s v="Prestar servicios profesionales para  apoyar los análisis y proyecciones financieras y administrativas de los proyectos de estructuración técnica del  Banco de Programas y Proyectos de la Región Central"/>
        <s v="Prestar servicios profesionales para  apoyar los análisis y estudios requeridos  para la estructuración técnica de proyectos de inversión del  Banco de Programas y Proyectos de la Región Central con enfoque ambiental"/>
        <s v="Adición y Prórroga al contrato 067-2017 cuyo objeto es: &quot;Prestar servicios profesionales para  apoyar los análisis y estudios requeridos  para la estructuración técnica de proyectos de inversión del  Banco de Programas y Proyectos de la Región Central con enfoque ambiental&quot;"/>
        <s v="Prestar servicios profesionales para  apoyar estandarización de bases de datos y archivos planos que permitan la consolidación de datos abiertos de la entidad con un mejor manejo y disponibilidad de información regional en la estrcuturación de proyectos de inversión."/>
        <s v="Modificación 1 y Adición 1 al Contrato 094 de 2017 cuyo Objeto es: &quot;Prestación de servicios para la operación logística en la organización y ejecución de actividades requeridas por la entidad, en el marco de sus funciones misionales y administrativas&quot;."/>
        <s v="Prestar servicios de apoyo al seguimiento del Proceso de Direccionamiento Estratégico"/>
        <s v="Prestar servicios profesionales de apoyo a la formulación, normalización y el seguimiento de los Procesos Misionales de la RAPE Región Central "/>
        <s v="Adición y Prórroga No. 1 al contrato 004 de 2017 cuyo objeto es &quot;Prestar servicios profesionales para la actualización y mantenimiento del SIG regional que garantice la elaboración de productos cartográficos&quot;"/>
        <s v="Suscripción de herramientas colaborativas del licenciamiento office 365"/>
        <s v="Adquisición de herramientas de Monitoreo y Gestión para la administración de TICS de la Región Central - RAPE. "/>
        <s v="Adición No. 1 al contrato 064 - 17 cuyo objeto es: Prestación de servicios y de apoyo necesarios para desarrollar el Plan Anual de Bienestar e Incentivos de la entidad para la vigencia 2017, el cual busca mejorar la calidad de vida de los funcionarios y sus familias."/>
        <s v="Prestar servicios profesionales para la Pre, Pro, y Posproducción  de piezas audiovisuales (animación, fotografía, video)  y la construcción del banco de fotografía dentro de la estrategia de comunicación de la Región Central. "/>
        <s v="Elaborar y ejecutar  la producción gráfica  (rebranding, material POP y litografía) de la nueva  imagen corporativa  de la Región Central Rape y los demás proyectos a cargo de la entidad."/>
        <s v="Producir y emitir  microprogramas de radio  para  visibilizar las acciones, los hechos regionales, ejes estratégicos y   proyectos que adelanta  la  Región  Central Rape"/>
        <s v="Prestar servicios profesionales para la gestión estratégica  y la coordinación  interinstitucional en  el desarrollo de contenidos de  los proyectos  priorizados para los asociados de la Región Central"/>
        <s v="Prestación de servicios necesarios para la realización de la actividad de Reinducción, en el marco del fortalecimiento de la gestión del talento humano en la entidad"/>
        <s v="Realizar la medición de clima organizacional bajo las 5 dimensiones de la metodología Great Place to Work® aplicada a todos los colaboradores de la entidad,  en el marco del fortalecimiento de la gestión del talento humano&quot;"/>
        <s v="Adquirir el certificado y aplicación de estampado para el sistema de gestión documental de la Región Central."/>
        <s v="Adición y Prorroga N. 1 al contrato N. 023-2017 cuyo objeto es &quot;Prestar servicios profesionales para la identificación y estructuración de proyectos ambientales en la Región&quot;"/>
        <s v="Prestar Servicios profesionales para la integración y actualización geográfica, cartográfica y alfanumérica del Sistema de Información Geográfica - SIG de la Región Central, asegurando la planeación de los proyectos de la entidad."/>
        <s v="Adquisición de base de datos SQL para administrar los datos del Sistema de Gestión Documental"/>
        <s v="Adquisición de equipos de cómputo requeridos por la Oficina Asesora de Comunicaciones para el desarrollo de actividades planes, programas y proyectos a cargo de la Región Central RAP-E"/>
        <s v="Compra de las Licencias de Ofimática y programas de diseño"/>
        <s v="Adquisición de equipos tecnológicos y audiovisuales para el fortalecimiento de la actividades, planes, programas y proyectos a cargo de la Región Central RAPE"/>
        <s v="Desarrollar y ejecutar una estrategia de comunicación audio visual que incluya la realización de un video institucional y la elaboración y publicación de contenidos (ATL), donde se visibilicen los planes, proyectos y programas de la Región Central RAP-E. "/>
        <s v="Prestar servicios profesionales en el desarrollo de las actividades requeridas en el marco del proceso de gestión contractual"/>
        <s v="Prestar servicios profesionales en en el desarrollo de las actividades requeridas en el marco del proceso de gestión contractual"/>
        <s v="Adición y Pórroga del Contrato 016-17 &quot;Prestar servicios profesionales en en el desarrollo de las actividades requeridas en el marco del proceso de gestión contractual&quot;"/>
        <s v="Prestar servicios profesionales para la ejecución y seguimiento a las actividades desarrolladas en el marco de los procesos corporativos de la entidad"/>
        <s v="Adición y Pórroga del Contrato 022-17 &quot;Prestar servicios profesionales para la ejecución y seguimiento a las actividades desarrolladas en el marco de los procesos corporativos de la entidad&quot;"/>
        <s v="Prestar servicios técnicos para en el soporte requerido para el desarrollo del proceso tecnológico y de las comunicaciones"/>
        <s v="Prestar servicios profesionales para la asesoría en el proceso de rediseño institucional de la RAPE Región Central así como en la elaboración de los actos administrativos que se requieran para su implementación. "/>
        <s v="Suministro de elementos de papelería y útiles de oficina requeridos para el desarrollo de los proyectos y funcionamiento Región Central"/>
        <s v="Adquisición de carpetas para el archivo, de conformidad con las especificaciones técnicas requeridas."/>
        <s v="Adqusición de herramientas físicas para el mantenimiento preventivo y correctivo para las instalaciones de la entidad."/>
        <s v="Renovación de herramientas colaborativas del licenciamiento office 365"/>
        <s v="Renovación del licenciamiento de la página web de la entidad"/>
        <s v="Prestar el servicio de actualizacion de firmas y mantenimiento del sistema de información administrativo y financiea TNS"/>
        <s v="Adición y prórroga al contrato 024 de 2016 cuyo objeto es: &quot;Prestar el servicio de transporte público terrestre automotor especial para desarrollar las actividades de la Región Administrativa y de Planeación Especial RAPE - Región Central &quot;"/>
        <s v="Prestar el servicio de transporte público terrestre automotor especial para desarrollar las actividades requeridas para el funcionamiento de la Región Administrativa y de Planeación Especial - RAPE - Región Central"/>
        <s v="Adición y prórroga al contrato 055-17 &quot;Prestar el servicio de transporte público terrestre automotor especial para desarrollar las actividades requeridas para el funcionamiento de la Región Administrativa y de Planeación Especial - RAPE - Región Central&quot;"/>
        <s v="Prestar los servicios postales y de correo a nivel local, nacional e internacional, para recoger y  distribuir la correspondencia generada por la Región Administrativa y de Planeación Especial - RAPE - Región Central"/>
        <s v="Prestación de servicios de canal de internet y troncal SIP para el funcionamiento y comunicación de la Región Administrativa y de Planeación Especial - RAPE - Región Central"/>
        <s v="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
        <s v="Adición al contrato 054-17 cuyo objeto es &quot;Contratar los seguros que amparen los intereses patrimoniales de propiedad de la Región Administrativa y de Planeación Especial RAPE REGIÓN CENTRAL y los que se encuentren bajo su responsabilidad y custodia, así como aquellos que sean adquiridos para desarrollar las funciones inherentes a su misionalidad, y cualquier otra póliza de seguros que requiera la Entidad en el desarrollo de su actividad&quot;"/>
        <s v="Suscripción al servicio de herramientas prácticas para la actualización de información en materia jurídica"/>
        <s v="Prestar el servicio de aseo y cafetería, incluyendo el suministro de los elementos necesarios para el mismo, en las diferentes áreas de la Región Administrativa y de Planeación Especial  RAPE - Región Central"/>
        <s v="Contratar por el Sistema de Precios Unitarios y cantidad de obra realmente ejecutada, las obras de adecuación, remodelación y amueblamiento de la oficina 702 del edificio Cámara Colombiana de la Infraestructura en la ciudad de Bogotá D.C., incluyendo el suministro redes de voz y datos, donde funciona la sede de la Región Administrativa y de Planeación Especial - RAPE  Región Central."/>
        <s v="Adición No. 1 al  Contrato 056-2017 cuyo objeto es: &quot;Contratar por el Sistema de Precios Unitarios y cantidad de obra realmente ejecutada, las obras de adecuación, remodelación y amueblamiento de la oficina 702 del edificio Cámara Colombiana de la Infraestructura en la ciudad de Bogotá D.C., incluyendo el suministro redes de voz y datos, donde funciona la sede de la Región Administrativa y de Planeación Especial - RAPE  Región Central.&quot;"/>
        <s v="Realizar la compra de estantería y mobiliario para la adecuación de el depósito de la entidad "/>
        <s v="EL ARRENDADOR entrega al ARRENDATARIO, a título de arrendamiento, y éste recibe de aquel al mismo título, un inmueble con destino al funcionamiento de la sede principal de la Región Administrativa y de Planeación Especial - RAPE - Región Central, un inmueble ubicado en la Avenida calle 26 No. 59 - 41 oficina 702  Edificio Cámara Colombiana de la Infraestructura en la ciudad de Bogotá D.C."/>
        <s v="Prestación de servicios y de apoyo necesarios para desarrollar el Plan Anual de Bienestar e Incentivos de la entidad para la vigencia 2017, el cual busca mejorar la calidad de vida de los funcionarios y sus familias"/>
        <s v="Adquisición de elementos de seguridad y salud en el trabajo, de conformidad con las especificaciones técnicas requeridas por la entidad"/>
        <s v="Prestar el servicio para la realización de los exámenes médicos ocupacionales requeridos por la entidad, en desarrollo del Programa de Seguridad y Salud en el Trabajo"/>
        <s v="Prestar servicios de apoyo a la gestión para adelantar la  formación requerida por los integrantes de la Brigada de Emergencias de la RAPE - Región Central"/>
        <s v="Adición No. 3 al contrato 024 de 2016 cuyo objeto es: &quot;Prestar el servicio de transporte público terrestre automotor especial para desarrollar las actividades de la Región Administrativa y de Planeación Especial RAPE - Región Central &quot;"/>
        <s v="Contratar la intermediación de seguros y asesoría para el manejo del programa de seguros de la Región Administrativa y de Planeación Especial - RAPE Región Central"/>
        <s v="Adición No. 4 al contrato 024 de 2016 cuyo objeto es: &quot;Prestar el servicio de transporte público terrestre automotor especial para desarrollar las actividades de la Región Administrativa y de Planeación Especial RAPE - Región Central &quot;"/>
        <s v="Contratar la preatación del servicio de transporte para la realización de los mercados campesinos de la Región Central" u="1"/>
        <s v="Prestar servicio profesionales de sensibilización y/o capacitación que contribuyan con la fundamentación del Sistema de Gestión de Calidad de acuerdo a la normatividad vigente - NTC GP 1000 - ISO 9001 teniendo en cuenta su relación con el Modelo Estándar de Control Interno MECI 1000:2014." u="1"/>
        <s v="Aunar esfuerzos técnicos, administrativos y finanacieros para el diseño de un programa de incentivos a la conservación ecológica, que permita desarrollar el modelo de pagos por Servicios Ambientales de la Región Central, mediante la implementación de pilotos en áreas focalizadas de 2 municipios en el territorio de los asociados de la RAPE - Región Central." u="1"/>
        <s v="Prestar servicios profesionales para  apoyar la identificación y  análisis del desarrollo regional en la estructuración técnica de proyectos de inversión del  Banco de Programas y Proyectos de la Región Central que articule los territorios de las entidades asociadas" u="1"/>
        <s v="Aunar esfuerzos técnicos, administrativos y económicos entre la Corporación Autónoma Regional de Cundinamarca – CAR, la Región Administrativa y de Planeación Especial – RAPE Región Central y la Corporación para el Manejo Sostenible de los Bosques – MASBOSQUES, para implementar y consolidar el esquema BanCO2® “Servicios Ambientales Comunitarios” en las áreas de importancia estratégica de la jurisdicción CAR." u="1"/>
        <s v="Producción  de herramientas digitales de promoción para las rutas de biciturismo de la Región Central incluyendo un sitio web, fotografía, y video." u="1"/>
        <s v="Prestar servicios profesionales para la elaboración del estudio técnico que soporte el rediseño institucional de la RAPE Región Central así como los actos administrativos requeridos para su implementación." u="1"/>
        <s v="Prestar servicios profesionales para desarrollar acciones de enlace institucional, y actividades para el abordaje e inserción en las instancias de participación del departamento de Tolima con relación a la Región Central" u="1"/>
        <s v="Adición y prórroga del contrato 51 de 2017 cuyo objeto es &quot;Prestar servicios profesionales para la iodentificación, abordaje e inserción de las instancias de participación en el departamento de Cundinamarca, con relación a la Región Central&quot;" u="1"/>
        <s v="Prestar servicios profesionales para apoyar la estructuración, desarrollo y seguimiento de las actividades relacionadas con la identificación y localización de familias y el eje de seguridad alimentaria y desarrollo rural" u="1"/>
        <s v="Suscripción de herramientas colaborativas del licenciamiento office 365 (Páramos)" u="1"/>
        <s v="Aunar esfuerzos técnicos, administrativos y económicos entre la Corporación Autónoma Regional de Cundinamarca – CAR, la Alcaldía Local de Sumapaz y la Región Administrativa y de Planeación Especial – RAPE Región Central, para implementar y consolidar el esquema BanCO2® “Servicios Ambientales Comunitarios” en el área rural de la localidad de Sumapaz de la ciudad de Bogotá en jurisdicción de la CAR." u="1"/>
        <s v="Adquisición e implementación una solución tecnológica y administrativa que soporte los procesos de la entidad en materia de gestión documental, planeación y proyectos " u="1"/>
        <s v="Prestar servicios profesionales para la Pre, Pro, y Posproducción  de piezas audiovisuales (animación, infografía, video)  y la construcción del banco de fotografía dentro de la estrategia de comunicación de la Región Central. " u="1"/>
        <s v="Realizar actividades tendientes al Fortalecimiento del Talento Humano de la Entidad" u="1"/>
        <s v="Adición y prórroga No.1 al contrato 060 de 2017 cuyo objeto es: Prestar servicios profesionales de apoyo a la gestión jurídica en el marco  precontractual y contractual tendientes a contratar la ejecución de los proyectos aprobados por el Sistema General de Regalías." u="1"/>
        <s v="Prestar los servicios necesarios para el reconocimiento de los territorios que conforman la Ruta de Integración para la PAZ" u="1"/>
        <s v="Prestar los servicios profesionales para apoyar el proceso de elaboración e implementación del Proyecto  regional de voluntariado de guardapáramos " u="1"/>
        <s v="Elaborar y ejecutar  la producción gráfica  (rebranding, material POP y litografía) de la nueva  imagen corporativa  de la Región Central Rape" u="1"/>
        <s v="Aunar esfuerzos técnicos, administrativos y financieros para el desarrollo de la estrategia piloto BanCO2 como incentivo de PSA en la Localidad de Sumapaz  " u="1"/>
        <s v="Diseño de producto turístico asociado a rutas de Biciturismo en la Región Central e implementación de un programa de capacidades emprendedoras a comunidades rurales para convertirlos en operadores del producto" u="1"/>
        <s v="Aunar esfuerzos para promover la implementación de la Política Nacional de Desarrollo Productivo que contribuya a la competitividad regional, a través del fortalecimiento de las Comisiones Regionales de Competitivdad y en la ejecución de los instrumetnos de desarrollo empresarial del Ministerio de Comercio, Industria y Turismo,  con el apoyo de las Cámaras de Comercio, en los sectores e iniciativas cluster de interes para los departamentos" u="1"/>
        <s v="Aunar esfuerzos técnicos, administrativos y finacieros para la implementación del proyecto de compras institucionales de la Región Central" u="1"/>
        <s v="Adición y prórroga del contrato 58 de 2017 cuyo objeto es &quot;Prestar servicios profesionales para desarrollar acciones de enlace institucional y coordinación de agendas con el departamento de Tolima como territorio asociado de la Región Central&quot;" u="1"/>
        <s v="Prestar servicios profesionales para desarrollar acciones de enlace institucional, y actividades para el abordaje e inserción en las instancias de participación del departamento de Meta con relación a la Región Central" u="1"/>
        <s v="Prestar servicios profesionales para apoyar al Eje Competitividad y Proyección Internacional en las acciones de formulación del Proyecto de Ruta de integración para la paz" u="1"/>
        <s v="Adición y prórroga del contrato 47 de 2017 cuyo objeto es &quot;Prestar servicios profesionales para la identificación, abordaje e inserción de las instancias de participación en el departamento del Meta, con relación a la Región Central&quot;" u="1"/>
        <s v="Prestar servicios profesionales de acompañamiento a la agenda legislativa (proyectos de ley), así como a los decretos o reglamentaciones del Gobierno Nacional en los temas de interés de la RAPE- Región Central" u="1"/>
        <s v="Aunar esfuerzos para la fomulación, gestión e implementación del modelo de pago por servicios ambientales  y otros incentivos  a la conservación, asociado a la protección y conservación  del recurso hídrico en un municipio de cada uno de los Departamentos de  Boyacá, Tolima y Meta" u="1"/>
        <s v="Prestar servicios profesionales para desarrollar acciones de enlace institucional y actividades para el abordaje e inserción en las instancias de participación del departamento de Cundinamarca con relación a la Región Central" u="1"/>
        <s v="Prestar servicios profesionales para la gestión en comunicaciones en materia de interación con representantes  de los medios de comunicación  y apoyo mediático en eventos organizados  por la Región Central. " u="1"/>
        <s v="Implementación de cambio de imagen, imprenta,  Plan de Medios - Plan Digital.    " u="1"/>
        <s v="Prestar servicios profesionales para el desarrollo gráfico, estadistico y de cargue de información necesario para el seguimiento y control del Micrositio de Sistema Integrado de Gestión de la plataforma institucional de SharePoint" u="1"/>
      </sharedItems>
    </cacheField>
    <cacheField name="VALOR ESTIMADO" numFmtId="0">
      <sharedItems containsSemiMixedTypes="0" containsString="0" containsNumber="1" minValue="0" maxValue="456572072" count="176">
        <n v="31753333"/>
        <n v="0"/>
        <n v="44000000"/>
        <n v="16500000"/>
        <n v="30000000"/>
        <n v="48000000"/>
        <n v="23608000"/>
        <n v="4721600"/>
        <n v="54000000"/>
        <n v="42000000"/>
        <n v="81000000"/>
        <n v="9000000"/>
        <n v="22000000"/>
        <n v="1906667"/>
        <n v="12600000"/>
        <n v="300000000"/>
        <n v="50000000"/>
        <n v="13500000"/>
        <n v="250000000"/>
        <n v="23466666"/>
        <n v="350000000"/>
        <n v="2266667"/>
        <n v="36000000"/>
        <n v="18000000"/>
        <n v="33000000"/>
        <n v="11000000"/>
        <n v="5500000"/>
        <n v="5583333"/>
        <n v="28134131"/>
        <n v="14070500"/>
        <n v="4033326"/>
        <n v="3850000"/>
        <n v="10000000"/>
        <n v="3083333"/>
        <n v="1833333"/>
        <n v="3666667"/>
        <n v="18500000"/>
        <n v="456572072"/>
        <n v="11169866"/>
        <n v="2236770"/>
        <n v="25500000"/>
        <n v="1900000"/>
        <n v="28000000"/>
        <n v="39000000"/>
        <n v="25200000"/>
        <n v="26500000"/>
        <n v="24000000"/>
        <n v="8000000"/>
        <n v="370000000"/>
        <n v="55000000"/>
        <n v="21830134"/>
        <n v="70000000"/>
        <n v="35000000"/>
        <n v="7000000"/>
        <n v="150000000"/>
        <n v="73000000"/>
        <n v="26000000"/>
        <n v="20000000"/>
        <n v="7200000"/>
        <n v="6000000"/>
        <n v="32763230"/>
        <n v="41490572"/>
        <n v="21600000"/>
        <n v="10800000"/>
        <n v="40800000"/>
        <n v="31000000"/>
        <n v="20566667"/>
        <n v="27000000"/>
        <n v="15000000"/>
        <n v="14000000"/>
        <n v="19933333"/>
        <n v="90000000"/>
        <n v="40000000"/>
        <n v="15250000"/>
        <n v="21000000"/>
        <n v="35200000"/>
        <n v="8800000"/>
        <n v="8549555"/>
        <n v="12000000"/>
        <n v="7263333"/>
        <n v="736667"/>
        <n v="45569682"/>
        <n v="73719800"/>
        <n v="8255226"/>
        <n v="14126577"/>
        <n v="72752238"/>
        <n v="16000000"/>
        <n v="45500000"/>
        <n v="22750000"/>
        <n v="9898397"/>
        <n v="21280200"/>
        <n v="41000000"/>
        <n v="32800000"/>
        <n v="4000000"/>
        <n v="32500000"/>
        <n v="4800000"/>
        <n v="6400445"/>
        <n v="6593200"/>
        <n v="98000000"/>
        <n v="110000000"/>
        <n v="27466658"/>
        <n v="5433800"/>
        <n v="7973000"/>
        <n v="38000000"/>
        <n v="9410282"/>
        <n v="5878712"/>
        <n v="19413000"/>
        <n v="48509428"/>
        <n v="36600000"/>
        <n v="33143333"/>
        <n v="49000000"/>
        <n v="24500000"/>
        <n v="48800000"/>
        <n v="20400000"/>
        <n v="13922228"/>
        <n v="24590000"/>
        <n v="6500000"/>
        <n v="2000000"/>
        <n v="23300000"/>
        <n v="3715372"/>
        <n v="10662400"/>
        <n v="8700000"/>
        <n v="53000000"/>
        <n v="5000000"/>
        <n v="4030520"/>
        <n v="21043008"/>
        <n v="9996000"/>
        <n v="38506528"/>
        <n v="93472"/>
        <n v="1200000"/>
        <n v="24651979"/>
        <n v="62950032"/>
        <n v="5426568"/>
        <n v="193888200"/>
        <n v="11500000"/>
        <n v="5100000"/>
        <n v="1218359"/>
        <n v="8500000" u="1"/>
        <n v="13000000" u="1"/>
        <n v="10950000" u="1"/>
        <n v="100000000" u="1"/>
        <n v="13600000" u="1"/>
        <n v="9500000" u="1"/>
        <n v="70573432.420000002" u="1"/>
        <n v="12090759" u="1"/>
        <n v="227253802" u="1"/>
        <n v="33346666" u="1"/>
        <n v="200000000" u="1"/>
        <n v="80000000" u="1"/>
        <n v="6764113" u="1"/>
        <n v="89100000" u="1"/>
        <n v="1500000" u="1"/>
        <n v="5426567.5800000001" u="1"/>
        <n v="23500000" u="1"/>
        <n v="500000" u="1"/>
        <n v="51253802" u="1"/>
        <n v="35376667" u="1"/>
        <n v="12500000" u="1"/>
        <n v="196000000" u="1"/>
        <n v="242253802" u="1"/>
        <n v="298100000" u="1"/>
        <n v="65000000" u="1"/>
        <n v="27500000" u="1"/>
        <n v="456162831" u="1"/>
        <n v="32000000" u="1"/>
        <n v="60000000" u="1"/>
        <n v="25000000" u="1"/>
        <n v="220253802" u="1"/>
        <n v="32167457" u="1"/>
        <n v="9860000" u="1"/>
        <n v="3500000" u="1"/>
        <n v="22500000" u="1"/>
        <n v="38600000" u="1"/>
        <n v="26366667" u="1"/>
        <n v="75000000" u="1"/>
        <n v="170000000" u="1"/>
      </sharedItems>
    </cacheField>
    <cacheField name="RUBRO" numFmtId="0">
      <sharedItems/>
    </cacheField>
    <cacheField name="FUENTE" numFmtId="0">
      <sharedItems count="2">
        <s v="Recursos propios"/>
        <s v="N/A"/>
      </sharedItems>
    </cacheField>
    <cacheField name="MODALIDAD DE SELECCIÓN" numFmtId="0">
      <sharedItems count="9">
        <s v="Contratación directa"/>
        <s v="N/A"/>
        <s v="Licitación Pública"/>
        <s v="Modificación, adición o prórroga"/>
        <s v="Mínima cuantía"/>
        <s v="Concurso de méritos"/>
        <s v="Selección Abreviada"/>
        <s v="Selección abreviada de menor cuantía"/>
        <s v="Acuerdo marco de precios"/>
      </sharedItems>
    </cacheField>
    <cacheField name="TIPO DE _x000a_CONTRATO" numFmtId="0">
      <sharedItems count="11">
        <s v="PSP"/>
        <s v="N/A"/>
        <s v="Convenio Interadministrativo"/>
        <s v="Servicios"/>
        <s v="Convenio"/>
        <s v="Consultoría"/>
        <s v="Bienes"/>
        <s v="Obra"/>
        <s v="Convenio de cooperación"/>
        <s v="Contrato de interventoría"/>
        <s v="ARRENDAMIENTO"/>
      </sharedItems>
    </cacheField>
    <cacheField name="PLAZO DE EJECUCIÓN" numFmtId="0">
      <sharedItems containsMixedTypes="1" containsNumber="1" minValue="1" maxValue="13.6"/>
    </cacheField>
    <cacheField name="FECHA FECHA ESTIMADA PARA INICIAR EL PROCESO CONTRACTUAL" numFmtId="0">
      <sharedItems containsDate="1" containsBlank="1" containsMixedTypes="1" minDate="2017-01-13T00:00:00" maxDate="2017-12-18T00:00:00"/>
    </cacheField>
    <cacheField name="FECHA ESTIMADA DE INICIO EJECUCIÓN" numFmtId="0">
      <sharedItems containsDate="1" containsBlank="1" containsMixedTypes="1" minDate="2015-12-15T00:00:00" maxDate="2018-01-01T00:00:00"/>
    </cacheField>
    <cacheField name="ÁREA RESPONSABLE" numFmtId="0">
      <sharedItems count="4">
        <s v="Dirección Técnica"/>
        <s v="Dirección Ejecutiva - Comunicaciones"/>
        <s v="Oficina Asesora de Planeación"/>
        <s v="Dirección Corporativa"/>
      </sharedItems>
    </cacheField>
    <cacheField name="OBSERVACIONES" numFmtId="0">
      <sharedItems containsBlank="1"/>
    </cacheField>
    <cacheField name="VALOR CONTRATADO" numFmtId="0">
      <sharedItems containsString="0" containsBlank="1" containsNumber="1" containsInteger="1" minValue="0" maxValue="350000000"/>
    </cacheField>
    <cacheField name="DIFERENCIA" numFmtId="0">
      <sharedItems containsSemiMixedTypes="0" containsString="0" containsNumber="1" minValue="-0.41999999992549419" maxValue="456572072" count="49">
        <n v="0"/>
        <n v="48000000"/>
        <n v="2700000"/>
        <n v="11500000"/>
        <n v="23372000"/>
        <n v="300000000"/>
        <n v="28134131"/>
        <n v="1293333"/>
        <n v="456572072"/>
        <n v="1900000"/>
        <n v="26500000"/>
        <n v="133333"/>
        <n v="77090312"/>
        <n v="343350"/>
        <n v="7000000"/>
        <n v="73000000"/>
        <n v="7200000"/>
        <n v="1680000"/>
        <n v="19066667"/>
        <n v="866667"/>
        <n v="4600000"/>
        <n v="6666667"/>
        <n v="500000"/>
        <n v="4650000"/>
        <n v="1830000"/>
        <n v="3200000"/>
        <n v="4266667"/>
        <n v="463333"/>
        <n v="736667"/>
        <n v="12000000"/>
        <n v="8181522"/>
        <n v="8000000"/>
        <n v="1600000"/>
        <n v="4900000"/>
        <n v="1000000"/>
        <n v="20000000"/>
        <n v="33200"/>
        <n v="11900"/>
        <n v="15000000"/>
        <n v="38000000"/>
        <n v="5878712"/>
        <n v="322228"/>
        <n v="6500000"/>
        <n v="4000000"/>
        <n v="6145213"/>
        <n v="3715372"/>
        <n v="10662400"/>
        <n v="173886"/>
        <n v="-0.41999999992549419" u="1"/>
      </sharedItems>
    </cacheField>
    <cacheField name="Abogada Responsable" numFmtId="0">
      <sharedItems containsBlank="1" longText="1"/>
    </cacheField>
    <cacheField name="Dia" numFmtId="0">
      <sharedItems containsString="0" containsBlank="1" containsNumber="1" containsInteger="1" minValue="1" maxValue="30"/>
    </cacheField>
    <cacheField name="Mes" numFmtId="0">
      <sharedItems containsString="0" containsBlank="1" containsNumber="1" containsInteger="1" minValue="1" maxValue="12"/>
    </cacheField>
    <cacheField name="Año" numFmtId="0">
      <sharedItems containsString="0" containsBlank="1" containsNumber="1" containsInteger="1" minValue="2017" maxValue="2017"/>
    </cacheField>
    <cacheField name="Estado" numFmtId="0">
      <sharedItems containsBlank="1" count="10">
        <s v="Contratado "/>
        <s v="Eliminado"/>
        <s v="Desplazamiento "/>
        <s v="Pendiente"/>
        <s v="En proceso "/>
        <s v="Declarado Desierto"/>
        <s v="Publicado " u="1"/>
        <m u="1"/>
        <s v="Pendiente " u="1"/>
        <s v="En ejecución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
  <r>
    <x v="0"/>
    <x v="0"/>
    <s v="1 acción de cambio climático formulada, cofinanciada y en implementación"/>
    <x v="0"/>
    <x v="0"/>
    <s v="Sustentabilidad ecosistémica y manejo de riesgos"/>
    <x v="0"/>
    <x v="0"/>
    <x v="0"/>
    <n v="6"/>
    <d v="2017-02-15T00:00:00"/>
    <d v="2017-03-15T00:00:00"/>
    <x v="0"/>
    <s v="CONTRATADO: FRANCISCO CANAL_x000a_6 MESES X 8 MILLONES Valor ejecutado de $48 millones terminación anticipada"/>
    <n v="31753333"/>
    <n v="0"/>
    <m/>
    <n v="15"/>
    <x v="0"/>
    <n v="2017"/>
    <x v="0"/>
  </r>
  <r>
    <x v="1"/>
    <x v="0"/>
    <s v="Implementar un  modelo de compensación por servicios ambientales, asociado al cuidado del recurso hídrico"/>
    <x v="1"/>
    <x v="1"/>
    <s v="Sustentabilidad ecosistémica y manejo de riesgos"/>
    <x v="1"/>
    <x v="1"/>
    <x v="1"/>
    <s v="N/A"/>
    <m/>
    <m/>
    <x v="0"/>
    <s v="Se suprime este proceso por solicitud de la Dirección Técnica en la Versión 4"/>
    <m/>
    <n v="0"/>
    <m/>
    <m/>
    <x v="1"/>
    <m/>
    <x v="1"/>
  </r>
  <r>
    <x v="2"/>
    <x v="0"/>
    <s v="1 acción de cambio climático formulada, cofinanciada y en implementación"/>
    <x v="2"/>
    <x v="1"/>
    <s v="Sustentabilidad ecosistémica y manejo de riesgos"/>
    <x v="1"/>
    <x v="1"/>
    <x v="1"/>
    <s v="N/A"/>
    <m/>
    <m/>
    <x v="0"/>
    <s v="Se modifica en la versión 4 por solicitud de la Dirección Técnica_x000a_Se elimina en la versión 8  por solicitud de la Dirección Técnica"/>
    <m/>
    <n v="0"/>
    <m/>
    <m/>
    <x v="1"/>
    <m/>
    <x v="1"/>
  </r>
  <r>
    <x v="3"/>
    <x v="0"/>
    <s v="1 acción de cambio climático formulada, cofinanciada y en implementación"/>
    <x v="3"/>
    <x v="2"/>
    <s v="Sustentabilidad ecosistémica y manejo de riesgos"/>
    <x v="0"/>
    <x v="0"/>
    <x v="0"/>
    <n v="11"/>
    <d v="2017-01-16T00:00:00"/>
    <d v="2017-02-13T00:00:00"/>
    <x v="0"/>
    <s v="CONTRATADO: CATALINA RODRÍGUEZ_x000a_8 MESES X 5`5 MILLONES_x000a_Se modifica en la versión 2 por solicitud de la Dirección Técnica"/>
    <n v="44000000"/>
    <n v="0"/>
    <m/>
    <n v="16"/>
    <x v="2"/>
    <n v="2017"/>
    <x v="0"/>
  </r>
  <r>
    <x v="4"/>
    <x v="0"/>
    <s v="1  Proyecto regional de voluntariado de guardapáramos estructurado"/>
    <x v="4"/>
    <x v="1"/>
    <s v="Sustentabilidad ecosistémica y manejo de riesgos"/>
    <x v="1"/>
    <x v="1"/>
    <x v="1"/>
    <s v="N/A"/>
    <m/>
    <m/>
    <x v="0"/>
    <s v="Se modifica en la versión 4 por solicitud de la Dirección Técnica_x000a_Se elimina en la versión 8  por solicitud de la Dirección Técnica"/>
    <m/>
    <n v="0"/>
    <m/>
    <m/>
    <x v="1"/>
    <m/>
    <x v="1"/>
  </r>
  <r>
    <x v="5"/>
    <x v="0"/>
    <s v="1  Proyecto regional de voluntariado de guardapáramos estructurado"/>
    <x v="5"/>
    <x v="3"/>
    <s v="Sustentabilidad ecosistémica y manejo de riesgos"/>
    <x v="0"/>
    <x v="0"/>
    <x v="0"/>
    <n v="3"/>
    <d v="2017-02-01T00:00:00"/>
    <d v="2017-02-13T00:00:00"/>
    <x v="0"/>
    <s v="CONTRATADO: NELSON SOLER_x000a_3 MESES X 5,5 MILLONES"/>
    <n v="16500000"/>
    <n v="0"/>
    <m/>
    <n v="1"/>
    <x v="0"/>
    <n v="2017"/>
    <x v="0"/>
  </r>
  <r>
    <x v="6"/>
    <x v="0"/>
    <s v="1 acción de cambio climático formulada, cofinanciada y en implementación"/>
    <x v="6"/>
    <x v="4"/>
    <s v="Sustentabilidad ecosistémica y manejo de riesgos"/>
    <x v="0"/>
    <x v="0"/>
    <x v="0"/>
    <n v="6"/>
    <d v="2017-02-06T00:00:00"/>
    <d v="2017-02-13T00:00:00"/>
    <x v="0"/>
    <s v="CONTRATADO: MÓNICA GUEVARA_x000a_6 MESES X 5 MILLONES_x000a_Se modifica en la versión 2 por solicitud de la Dirección Técnica"/>
    <n v="30000000"/>
    <n v="0"/>
    <m/>
    <n v="6"/>
    <x v="0"/>
    <n v="2017"/>
    <x v="0"/>
  </r>
  <r>
    <x v="7"/>
    <x v="0"/>
    <s v="1  Proyecto regional de voluntariado de guardapáramos estructurado"/>
    <x v="7"/>
    <x v="5"/>
    <s v="Sustentabilidad ecosistémica y manejo de riesgos"/>
    <x v="0"/>
    <x v="0"/>
    <x v="0"/>
    <n v="8"/>
    <d v="2017-02-06T00:00:00"/>
    <d v="2017-02-13T00:00:00"/>
    <x v="0"/>
    <s v="CONTRATADO: LUIS ALEXANDER FAJARDO_x000a_8 MESES X 6 MILLONES_x000a_Se modifica en la versión 2 por solicitud de la Dirección Técnica"/>
    <n v="48000000"/>
    <n v="0"/>
    <m/>
    <n v="6"/>
    <x v="0"/>
    <n v="2017"/>
    <x v="0"/>
  </r>
  <r>
    <x v="8"/>
    <x v="0"/>
    <s v="1 acción de cambio climático formulada, cofinanciada y en implementación"/>
    <x v="8"/>
    <x v="6"/>
    <s v="Sustentabilidad ecosistémica y manejo de riesgos"/>
    <x v="0"/>
    <x v="0"/>
    <x v="0"/>
    <n v="6"/>
    <d v="2017-04-10T00:00:00"/>
    <d v="2017-04-17T00:00:00"/>
    <x v="0"/>
    <s v="CONTRATADO: JENNY ALEJANDRA RODRÍGUEZ BERMUDEZ_x000a_Se suprimió este proceso por solicitud de la Dirección Técnica en la Versión 2 y se modificó en la versión 4 por solicitud de la Dirección Técnica"/>
    <n v="23608000"/>
    <n v="0"/>
    <m/>
    <n v="10"/>
    <x v="3"/>
    <n v="2017"/>
    <x v="0"/>
  </r>
  <r>
    <x v="8"/>
    <x v="0"/>
    <s v="1 acción de cambio climático formulada, cofinanciada y en implementación"/>
    <x v="9"/>
    <x v="7"/>
    <s v="Sustentabilidad ecosistémica y manejo de riesgos"/>
    <x v="0"/>
    <x v="0"/>
    <x v="0"/>
    <s v="1 mes 18 días"/>
    <d v="2017-11-11T00:00:00"/>
    <d v="2017-11-13T00:00:00"/>
    <x v="0"/>
    <s v="CONTRATADO: JENNY ALEJANDRA RODRÍGUEZ BERMUDEZ"/>
    <n v="4721600"/>
    <n v="0"/>
    <m/>
    <n v="11"/>
    <x v="4"/>
    <n v="2017"/>
    <x v="0"/>
  </r>
  <r>
    <x v="9"/>
    <x v="0"/>
    <s v="1 acción de cambio climático formulada, cofinanciada y en implementación"/>
    <x v="8"/>
    <x v="6"/>
    <s v="Sustentabilidad ecosistémica y manejo de riesgos"/>
    <x v="0"/>
    <x v="0"/>
    <x v="0"/>
    <n v="6"/>
    <d v="2017-04-10T00:00:00"/>
    <d v="2017-04-17T00:00:00"/>
    <x v="0"/>
    <s v="CONTRATADO: YULY TATIANA SILVA ESPINEL_x000a_Se suprimió este proceso por solicitud de la Dirección Técnica en la Versión 2 y se modificó en la versión 4 por solicitud de la Dirección Técnica"/>
    <n v="23608000"/>
    <n v="0"/>
    <m/>
    <n v="10"/>
    <x v="3"/>
    <n v="2017"/>
    <x v="0"/>
  </r>
  <r>
    <x v="9"/>
    <x v="0"/>
    <s v="1 acción de cambio climático formulada, cofinanciada y en implementación"/>
    <x v="10"/>
    <x v="7"/>
    <s v="Sustentabilidad ecosistémica y manejo de riesgos"/>
    <x v="0"/>
    <x v="0"/>
    <x v="0"/>
    <s v="1 mes 18 días"/>
    <d v="2017-11-11T00:00:00"/>
    <d v="2017-11-13T00:00:00"/>
    <x v="0"/>
    <s v="CONTRATADO: YULY TATIANA SILVA ESPINEL"/>
    <n v="4721600"/>
    <n v="0"/>
    <m/>
    <n v="11"/>
    <x v="4"/>
    <n v="2017"/>
    <x v="0"/>
  </r>
  <r>
    <x v="10"/>
    <x v="0"/>
    <s v="1 acción de cambio climático formulada, cofinanciada y en implementación"/>
    <x v="11"/>
    <x v="5"/>
    <s v="Sustentabilidad ecosistémica y manejo de riesgos"/>
    <x v="0"/>
    <x v="0"/>
    <x v="0"/>
    <n v="9"/>
    <d v="2017-02-01T00:00:00"/>
    <d v="2017-02-13T00:00:00"/>
    <x v="0"/>
    <s v="CONTRATADO: JULIO PULIDO_x000a_6 MESES X 8 MILLONES_x000a_Se modifica en las versiones 2 y 4 por solicitud de la Dirección Técnica"/>
    <n v="48000000"/>
    <n v="0"/>
    <m/>
    <n v="1"/>
    <x v="0"/>
    <n v="2017"/>
    <x v="0"/>
  </r>
  <r>
    <x v="11"/>
    <x v="0"/>
    <s v="Sustentabilidad ecosistémica y manejo de riesgos"/>
    <x v="12"/>
    <x v="5"/>
    <s v="Sustentabilidad ecosistémica y manejo de riesgos"/>
    <x v="0"/>
    <x v="1"/>
    <x v="1"/>
    <n v="11"/>
    <m/>
    <m/>
    <x v="0"/>
    <s v="En ejecución_x000a_Se modifica valor en la versión 4 por solicitud de la Dirección Técnica"/>
    <m/>
    <n v="48000000"/>
    <m/>
    <m/>
    <x v="1"/>
    <m/>
    <x v="2"/>
  </r>
  <r>
    <x v="12"/>
    <x v="0"/>
    <s v="1  Proyecto regional de voluntariado de guardapáramos estructurado"/>
    <x v="13"/>
    <x v="8"/>
    <s v="Sustentabilidad ecosistémica y manejo de riesgos"/>
    <x v="0"/>
    <x v="0"/>
    <x v="0"/>
    <n v="6"/>
    <d v="2017-03-06T00:00:00"/>
    <d v="2017-03-09T00:00:00"/>
    <x v="0"/>
    <s v="CONTRATADO:  DAVID VALDES CRUZ_x000a_CONTRATO 053-2017_x000a_Se crea en la versión 4 por solicitud de la Dirección Técnica"/>
    <n v="54000000"/>
    <n v="0"/>
    <m/>
    <n v="6"/>
    <x v="5"/>
    <n v="2017"/>
    <x v="0"/>
  </r>
  <r>
    <x v="13"/>
    <x v="0"/>
    <s v="1 Proyecto Páramos en ejecución"/>
    <x v="14"/>
    <x v="1"/>
    <s v="Sustentabilidad ecosistémica y manejo de riesgos"/>
    <x v="1"/>
    <x v="1"/>
    <x v="1"/>
    <s v="N/A"/>
    <m/>
    <m/>
    <x v="0"/>
    <s v="Se crea en la versión 4 por solicitud de la Dirección Técnica_x000a_Se elimina en la versión 8  por solicitud de la Dirección Técnica"/>
    <m/>
    <n v="0"/>
    <m/>
    <m/>
    <x v="1"/>
    <m/>
    <x v="1"/>
  </r>
  <r>
    <x v="14"/>
    <x v="0"/>
    <s v="1  Proyecto regional de voluntariado de guardapáramos estructurado"/>
    <x v="15"/>
    <x v="9"/>
    <s v="Sustentabilidad ecosistémica y manejo de riesgos"/>
    <x v="0"/>
    <x v="0"/>
    <x v="0"/>
    <n v="6"/>
    <d v="2017-03-06T00:00:00"/>
    <d v="2017-03-09T00:00:00"/>
    <x v="0"/>
    <s v="Se crea en la versión 4 por solicitud de la Dirección Técnica_x000a_CONTRATADO_x000a_DAVID RIVERA _x000a_6 MESES X 7 MILLONES"/>
    <n v="42000000"/>
    <n v="0"/>
    <m/>
    <n v="6"/>
    <x v="5"/>
    <n v="2017"/>
    <x v="0"/>
  </r>
  <r>
    <x v="15"/>
    <x v="0"/>
    <s v="1  Proyecto regional de voluntariado de guardapáramos estructurado"/>
    <x v="16"/>
    <x v="10"/>
    <s v="Sustentabilidad ecosistémica y manejo de riesgos"/>
    <x v="0"/>
    <x v="0"/>
    <x v="0"/>
    <n v="9"/>
    <d v="2017-03-06T00:00:00"/>
    <d v="2017-03-09T00:00:00"/>
    <x v="0"/>
    <s v="Se crea en la versión 4 por solicitud de la Dirección Técnica_x000a_CONTRATADO: EDGAR OVIEDO VARGAS_x000a_9 MESES X 9 MILLONES"/>
    <n v="81000000"/>
    <n v="0"/>
    <m/>
    <n v="6"/>
    <x v="5"/>
    <n v="2017"/>
    <x v="0"/>
  </r>
  <r>
    <x v="15"/>
    <x v="0"/>
    <s v="1  Proyecto regional de voluntariado de guardapáramos estructurado"/>
    <x v="17"/>
    <x v="11"/>
    <s v="Sustentabilidad ecosistémica y manejo de riesgos"/>
    <x v="0"/>
    <x v="0"/>
    <x v="0"/>
    <n v="1"/>
    <d v="2017-12-01T00:00:00"/>
    <d v="2017-12-09T00:00:00"/>
    <x v="0"/>
    <m/>
    <m/>
    <n v="9000000"/>
    <m/>
    <n v="1"/>
    <x v="6"/>
    <n v="2017"/>
    <x v="3"/>
  </r>
  <r>
    <x v="16"/>
    <x v="0"/>
    <s v="1 Proyecto Páramos en ejecución"/>
    <x v="18"/>
    <x v="12"/>
    <s v="Sustentabilidad ecosistémica y manejo de riesgos"/>
    <x v="0"/>
    <x v="0"/>
    <x v="0"/>
    <n v="5"/>
    <d v="2017-07-15T00:00:00"/>
    <d v="2017-08-01T00:00:00"/>
    <x v="0"/>
    <s v="CONTRATADO: YEYMER JAVIER COCUNUBO BUITRAGO CTO 071-17_x000a_5MESES X 4.4 MILLONES_x000a_ Se crea en la versión 4 por solicitud de la Dirección Técnica"/>
    <n v="22000000"/>
    <n v="0"/>
    <m/>
    <n v="15"/>
    <x v="7"/>
    <n v="2017"/>
    <x v="0"/>
  </r>
  <r>
    <x v="16"/>
    <x v="0"/>
    <s v="1 Proyecto Páramos en ejecución"/>
    <x v="19"/>
    <x v="13"/>
    <s v="Sustentabilidad ecosistémica y manejo de riesgos"/>
    <x v="0"/>
    <x v="0"/>
    <x v="0"/>
    <s v="13 días"/>
    <d v="2017-12-10T00:00:00"/>
    <d v="2017-12-18T00:00:00"/>
    <x v="0"/>
    <m/>
    <m/>
    <n v="1906667"/>
    <m/>
    <n v="10"/>
    <x v="6"/>
    <n v="2017"/>
    <x v="3"/>
  </r>
  <r>
    <x v="17"/>
    <x v="0"/>
    <s v="1 Proyecto Páramos en ejecución"/>
    <x v="20"/>
    <x v="1"/>
    <s v="Sustentabilidad ecosistémica y manejo de riesgos"/>
    <x v="1"/>
    <x v="1"/>
    <x v="1"/>
    <s v="N/A"/>
    <m/>
    <m/>
    <x v="0"/>
    <s v="Se crea en la versión 4 por solicitud de la Dirección Técnica_x000a_Se elimina en la versión 8  por solicitud de la Dirección Técnica"/>
    <m/>
    <n v="0"/>
    <m/>
    <m/>
    <x v="1"/>
    <m/>
    <x v="1"/>
  </r>
  <r>
    <x v="18"/>
    <x v="0"/>
    <s v="1 acción de cambio climático formulada, cofinanciada y en implementación"/>
    <x v="21"/>
    <x v="1"/>
    <s v="Sustentabilidad ecosistémica y manejo de riesgos"/>
    <x v="1"/>
    <x v="1"/>
    <x v="1"/>
    <s v="N/A"/>
    <m/>
    <m/>
    <x v="0"/>
    <s v="Se modifica en la versión 7 por solicitud de la Dirección Técnica_x000a_Se elimina en la versión 8  por solicitud de la Dirección Técnica"/>
    <m/>
    <n v="0"/>
    <m/>
    <m/>
    <x v="1"/>
    <m/>
    <x v="1"/>
  </r>
  <r>
    <x v="19"/>
    <x v="0"/>
    <s v="1  modelo en implementación para 3 municipios"/>
    <x v="22"/>
    <x v="14"/>
    <s v="Sustentabilidad ecosistémica y manejo de riesgos"/>
    <x v="0"/>
    <x v="0"/>
    <x v="0"/>
    <n v="5"/>
    <d v="2017-08-25T00:00:00"/>
    <d v="2017-09-01T00:00:00"/>
    <x v="0"/>
    <s v="CONTRATADO: ALEJANDRA ACOSTA ESTUPIÑAN CTO 096-17_x000a_3 MESES X 4,2 MILLONES "/>
    <n v="12600000"/>
    <n v="0"/>
    <m/>
    <n v="25"/>
    <x v="8"/>
    <n v="2017"/>
    <x v="0"/>
  </r>
  <r>
    <x v="20"/>
    <x v="0"/>
    <s v="diseñar una estrategia de especialización inteligente para la región articulada a la definida para Bogotá-Cundinamarca e implementar uno de los proyectos priorizados en la agenda regional "/>
    <x v="23"/>
    <x v="15"/>
    <s v="Sustentabilidad ecosistémica y manejo de riesgos"/>
    <x v="0"/>
    <x v="0"/>
    <x v="2"/>
    <n v="1.5"/>
    <d v="2017-10-15T00:00:00"/>
    <d v="2017-11-15T00:00:00"/>
    <x v="0"/>
    <s v="CONTRATADO: PATRIMONIO NATURAL FONDO PARA LA BIODIVERSIDAD Y AREAS PROTEGIDAS CTO 111-17"/>
    <n v="300000000"/>
    <n v="0"/>
    <s v="Claudia Paez"/>
    <n v="15"/>
    <x v="9"/>
    <n v="2017"/>
    <x v="0"/>
  </r>
  <r>
    <x v="21"/>
    <x v="0"/>
    <s v="1  modelo en implementación para 3 municipios"/>
    <x v="24"/>
    <x v="1"/>
    <s v="Sustentabilidad ecosistémica y manejo de riesgos"/>
    <x v="0"/>
    <x v="0"/>
    <x v="2"/>
    <n v="12"/>
    <d v="2017-11-05T00:00:00"/>
    <d v="2017-11-10T00:00:00"/>
    <x v="0"/>
    <m/>
    <m/>
    <n v="0"/>
    <s v="Claudia Paez"/>
    <n v="8"/>
    <x v="8"/>
    <n v="2017"/>
    <x v="1"/>
  </r>
  <r>
    <x v="22"/>
    <x v="0"/>
    <s v="1 acción de cambio climático formulada, cofinanciada y en implementación"/>
    <x v="25"/>
    <x v="3"/>
    <s v="Sustentabilidad ecosistémica y manejo de riesgos"/>
    <x v="0"/>
    <x v="0"/>
    <x v="0"/>
    <n v="3"/>
    <d v="2017-09-01T00:00:00"/>
    <d v="2017-09-15T00:00:00"/>
    <x v="0"/>
    <m/>
    <m/>
    <n v="16500000"/>
    <m/>
    <n v="1"/>
    <x v="10"/>
    <n v="2017"/>
    <x v="4"/>
  </r>
  <r>
    <x v="23"/>
    <x v="0"/>
    <s v="1 acción de cambio climático formulada, cofinanciada y en implementación"/>
    <x v="26"/>
    <x v="16"/>
    <s v="Sustentabilidad ecosistémica y manejo de riesgos"/>
    <x v="0"/>
    <x v="0"/>
    <x v="2"/>
    <s v="1 mes"/>
    <d v="2017-07-05T00:00:00"/>
    <d v="2017-07-10T00:00:00"/>
    <x v="0"/>
    <s v="CONTRATADO: ADESCUBRIR TRAVEL &amp; ADVENTURE S.A.S. CTO 066-17_x000a_Se crea en la versión 8  por solicitud de la Dirección Técnica"/>
    <n v="50000000"/>
    <n v="0"/>
    <m/>
    <n v="5"/>
    <x v="7"/>
    <n v="2017"/>
    <x v="0"/>
  </r>
  <r>
    <x v="24"/>
    <x v="0"/>
    <s v="1  Proyecto regional de voluntariado de guardapáramos estructurado"/>
    <x v="27"/>
    <x v="17"/>
    <s v="Sustentabilidad ecosistémica y manejo de riesgos"/>
    <x v="0"/>
    <x v="0"/>
    <x v="0"/>
    <n v="5"/>
    <d v="2017-08-03T00:00:00"/>
    <d v="2017-08-04T00:00:00"/>
    <x v="0"/>
    <s v="CONTRATADO: FERNEY ALEXANDER PEREZ CTO 079-17_x000a_3 MESES X4.5 MILLONES "/>
    <n v="13500000"/>
    <n v="0"/>
    <m/>
    <n v="3"/>
    <x v="8"/>
    <n v="2017"/>
    <x v="0"/>
  </r>
  <r>
    <x v="25"/>
    <x v="0"/>
    <s v="1  Proyecto regional de voluntariado de guardapáramos estructurado"/>
    <x v="28"/>
    <x v="18"/>
    <s v="Sustentabilidad ecosistémica y manejo de riesgos"/>
    <x v="0"/>
    <x v="2"/>
    <x v="3"/>
    <n v="4"/>
    <d v="2017-08-03T00:00:00"/>
    <d v="2017-10-01T00:00:00"/>
    <x v="0"/>
    <m/>
    <m/>
    <n v="250000000"/>
    <s v="Claudia Paez"/>
    <n v="3"/>
    <x v="8"/>
    <n v="2017"/>
    <x v="4"/>
  </r>
  <r>
    <x v="26"/>
    <x v="0"/>
    <s v="1 documento con la identificación de los elementos para la conectividad de la estructura ecológica regional"/>
    <x v="29"/>
    <x v="19"/>
    <s v="Sustentabilidad ecosistémica y manejo de riesgos"/>
    <x v="0"/>
    <x v="0"/>
    <x v="0"/>
    <n v="3"/>
    <d v="2017-09-10T00:00:00"/>
    <d v="2017-09-15T00:00:00"/>
    <x v="0"/>
    <s v="CONTRATADO: DAVID RIVERA OSPINA CTO 101- 17"/>
    <n v="23466666"/>
    <n v="0"/>
    <m/>
    <n v="10"/>
    <x v="10"/>
    <n v="2017"/>
    <x v="0"/>
  </r>
  <r>
    <x v="27"/>
    <x v="1"/>
    <s v="10 organizaciones campesinas vinculadas al Sistema de Compras Institucionales"/>
    <x v="30"/>
    <x v="20"/>
    <s v="Seguridad alimentaria y desarrollo rural"/>
    <x v="0"/>
    <x v="0"/>
    <x v="4"/>
    <n v="4.5"/>
    <d v="2017-08-03T00:00:00"/>
    <d v="2017-08-15T00:00:00"/>
    <x v="0"/>
    <s v="ADICIONADO: FAO CON 051-17_x000a_Se modifica en la versión 4 por solicitud de la Dirección Técnica"/>
    <n v="350000000"/>
    <n v="0"/>
    <s v="Natalia Naranjo"/>
    <n v="3"/>
    <x v="8"/>
    <n v="2017"/>
    <x v="0"/>
  </r>
  <r>
    <x v="27"/>
    <x v="1"/>
    <s v="10 organizaciones campesinas vinculadas al Sistema de Compras Institucionales"/>
    <x v="31"/>
    <x v="15"/>
    <s v="Seguridad alimentaria y desarrollo rural"/>
    <x v="0"/>
    <x v="0"/>
    <x v="4"/>
    <n v="5"/>
    <d v="2017-11-02T00:00:00"/>
    <d v="2017-11-11T00:00:00"/>
    <x v="0"/>
    <m/>
    <m/>
    <n v="300000000"/>
    <m/>
    <n v="2"/>
    <x v="4"/>
    <n v="2017"/>
    <x v="3"/>
  </r>
  <r>
    <x v="28"/>
    <x v="1"/>
    <s v="10 organizaciones campesinas vinculadas al Sistema de Compras Institucionales"/>
    <x v="32"/>
    <x v="5"/>
    <s v="Seguridad alimentaria y desarrollo rural"/>
    <x v="0"/>
    <x v="0"/>
    <x v="0"/>
    <n v="6"/>
    <d v="2017-03-27T00:00:00"/>
    <d v="2017-04-03T00:00:00"/>
    <x v="0"/>
    <s v="CONTRATADO: SEBASTIAN OSORIO _x000a_6MESES X 8 MILLONES_x000a_Se modifica en la versión 4 por solicitud de la Dirección Técnica"/>
    <n v="48000000"/>
    <n v="0"/>
    <m/>
    <n v="27"/>
    <x v="5"/>
    <n v="2017"/>
    <x v="0"/>
  </r>
  <r>
    <x v="29"/>
    <x v="1"/>
    <s v="Implementar el proyecto de compras institucionales de la Región Central"/>
    <x v="33"/>
    <x v="21"/>
    <s v="Seguridad alimentaria y desarrollo rural"/>
    <x v="0"/>
    <x v="0"/>
    <x v="0"/>
    <n v="11"/>
    <d v="2017-02-01T00:00:00"/>
    <d v="2017-02-13T00:00:00"/>
    <x v="0"/>
    <s v="CONTRATADO: YAMILE CONTENTO_x000a_7 MESES X 4 MILLONES. Terminación anticipada a partir del 23/02/17"/>
    <n v="2266667"/>
    <n v="0"/>
    <m/>
    <n v="1"/>
    <x v="0"/>
    <n v="2017"/>
    <x v="0"/>
  </r>
  <r>
    <x v="30"/>
    <x v="1"/>
    <s v="3 Municipios con acción de cambio verde"/>
    <x v="34"/>
    <x v="1"/>
    <s v="Seguridad alimentaria y desarrollo rural"/>
    <x v="1"/>
    <x v="1"/>
    <x v="1"/>
    <s v="N/A"/>
    <m/>
    <m/>
    <x v="0"/>
    <s v="Se elimina en la versión 4 por solicitud de la Dirección Técnica"/>
    <m/>
    <n v="0"/>
    <m/>
    <m/>
    <x v="1"/>
    <m/>
    <x v="1"/>
  </r>
  <r>
    <x v="31"/>
    <x v="1"/>
    <s v="10 organizaciones campesinas vinculadas al Sistema de Compras Institucionales"/>
    <x v="33"/>
    <x v="22"/>
    <s v="Seguridad alimentaria y desarrollo rural"/>
    <x v="0"/>
    <x v="0"/>
    <x v="0"/>
    <n v="9"/>
    <d v="2017-03-06T00:00:00"/>
    <d v="2017-03-10T00:00:00"/>
    <x v="0"/>
    <s v="CONTRATADO: CAROLINA HIGUERA_x000a_Se modifica en la versión 4 por solicitud de la Dirección Técnica"/>
    <n v="36000000"/>
    <n v="0"/>
    <m/>
    <n v="6"/>
    <x v="5"/>
    <n v="2017"/>
    <x v="0"/>
  </r>
  <r>
    <x v="31"/>
    <x v="1"/>
    <s v="10 organizaciones campesinas vinculadas al Sistema de Compras Institucionales"/>
    <x v="35"/>
    <x v="23"/>
    <s v="Seguridad alimentaria y desarrollo rural"/>
    <x v="0"/>
    <x v="0"/>
    <x v="0"/>
    <n v="3"/>
    <d v="2017-09-12T00:00:00"/>
    <d v="2017-10-01T00:00:00"/>
    <x v="0"/>
    <s v="ADICIONADO: CAROLINA HIGUERA 037-17_x000a_18 MILLONES X 3 MESES_x000a_Se crea en la versión 8 por solicitud de la Dirección Técnica"/>
    <n v="18000000"/>
    <n v="0"/>
    <m/>
    <n v="12"/>
    <x v="10"/>
    <n v="2017"/>
    <x v="0"/>
  </r>
  <r>
    <x v="32"/>
    <x v="1"/>
    <s v="3 Municipios con acción de cambio verde"/>
    <x v="36"/>
    <x v="24"/>
    <s v="Seguridad alimentaria y desarrollo rural"/>
    <x v="0"/>
    <x v="0"/>
    <x v="0"/>
    <n v="6"/>
    <d v="2017-03-06T00:00:00"/>
    <d v="2017-03-10T00:00:00"/>
    <x v="0"/>
    <s v="CONTRATADO: DIEGO ALONSO GUTIERREZ RANGEL_x000a_6 MESES X 5.5  MILLONES._x000a_Se modifica en la versión 4 por solicitud de la Dirección Técnica"/>
    <n v="33000000"/>
    <n v="0"/>
    <m/>
    <n v="6"/>
    <x v="5"/>
    <n v="2017"/>
    <x v="0"/>
  </r>
  <r>
    <x v="32"/>
    <x v="1"/>
    <s v="3 Municipios con acción de cambio verde"/>
    <x v="37"/>
    <x v="25"/>
    <s v="Seguridad alimentaria y desarrollo rural"/>
    <x v="0"/>
    <x v="0"/>
    <x v="0"/>
    <n v="2"/>
    <d v="2017-09-22T00:00:00"/>
    <d v="2017-09-23T00:00:00"/>
    <x v="0"/>
    <s v="Adicionado: DIEGO ALONSO GUTIERREZ RANGEL  CTO 048-17"/>
    <n v="11000000"/>
    <n v="0"/>
    <m/>
    <n v="22"/>
    <x v="10"/>
    <n v="2017"/>
    <x v="0"/>
  </r>
  <r>
    <x v="32"/>
    <x v="1"/>
    <s v="3 Municipios con acción de cambio verde"/>
    <x v="38"/>
    <x v="26"/>
    <s v="Seguridad alimentaria y desarrollo rural"/>
    <x v="0"/>
    <x v="0"/>
    <x v="0"/>
    <n v="1"/>
    <d v="2017-11-24T00:00:00"/>
    <d v="2017-11-24T00:00:00"/>
    <x v="0"/>
    <s v="Adicionado: DIEGO ALONSO GUTIERREZ RANGEL  CTO 048-17"/>
    <n v="5500000"/>
    <n v="0"/>
    <m/>
    <n v="24"/>
    <x v="4"/>
    <n v="2017"/>
    <x v="0"/>
  </r>
  <r>
    <x v="33"/>
    <x v="1"/>
    <s v="10 organizaciones campesinas vinculadas al Sistema de Compras Institucionales"/>
    <x v="39"/>
    <x v="27"/>
    <s v="Seguridad alimentaria y desarrollo rural"/>
    <x v="0"/>
    <x v="0"/>
    <x v="0"/>
    <n v="6"/>
    <d v="2017-03-06T00:00:00"/>
    <d v="2017-03-10T00:00:00"/>
    <x v="0"/>
    <s v="CONTRATADO: LUIS MIGUEL RAMIREZ DIAZ_x000a_6MESES X 2,5 MILLONES REDUCCIÓN POR TERMINACIÓN ANTICIPADA_x000a_Se modifica en la versión 4 por solicitud de la Dirección Técnica"/>
    <n v="5583333"/>
    <n v="0"/>
    <m/>
    <n v="6"/>
    <x v="5"/>
    <n v="2017"/>
    <x v="0"/>
  </r>
  <r>
    <x v="34"/>
    <x v="1"/>
    <s v="Seguridad alimentaria y desarrollo rural"/>
    <x v="12"/>
    <x v="28"/>
    <s v="Seguridad alimentaria y desarrollo rural"/>
    <x v="0"/>
    <x v="1"/>
    <x v="1"/>
    <n v="11"/>
    <m/>
    <m/>
    <x v="0"/>
    <s v="En ejecución"/>
    <m/>
    <n v="32167457"/>
    <m/>
    <m/>
    <x v="1"/>
    <m/>
    <x v="2"/>
  </r>
  <r>
    <x v="35"/>
    <x v="1"/>
    <s v="900 Familias identificadas para intervención"/>
    <x v="40"/>
    <x v="1"/>
    <s v="Seguridad alimentaria y desarrollo rural"/>
    <x v="1"/>
    <x v="1"/>
    <x v="1"/>
    <s v="N/A"/>
    <m/>
    <m/>
    <x v="0"/>
    <s v="Se crea en la versión 4 por solicitud de la Dirección Técnica"/>
    <m/>
    <n v="0"/>
    <m/>
    <m/>
    <x v="1"/>
    <m/>
    <x v="1"/>
  </r>
  <r>
    <x v="36"/>
    <x v="1"/>
    <s v="900 Familias identificadas para intervención"/>
    <x v="41"/>
    <x v="1"/>
    <s v="Seguridad alimentaria y desarrollo rural"/>
    <x v="1"/>
    <x v="1"/>
    <x v="1"/>
    <s v="N/A"/>
    <m/>
    <m/>
    <x v="0"/>
    <s v="Se crea en la versión 4 por solicitud de la Dirección Técnica"/>
    <m/>
    <n v="0"/>
    <m/>
    <m/>
    <x v="1"/>
    <m/>
    <x v="1"/>
  </r>
  <r>
    <x v="37"/>
    <x v="1"/>
    <s v="900 Familias identificadas para intervención"/>
    <x v="42"/>
    <x v="1"/>
    <s v="Seguridad alimentaria y desarrollo rural"/>
    <x v="1"/>
    <x v="1"/>
    <x v="1"/>
    <s v="N/A"/>
    <m/>
    <m/>
    <x v="0"/>
    <s v="Se crea en la versión 4 por solicitud de la Dirección Técnica"/>
    <m/>
    <n v="0"/>
    <m/>
    <m/>
    <x v="1"/>
    <m/>
    <x v="1"/>
  </r>
  <r>
    <x v="38"/>
    <x v="1"/>
    <s v="2 Mercados campesinos realizados en la Región Central"/>
    <x v="43"/>
    <x v="29"/>
    <s v="Seguridad alimentaria y desarrollo rural"/>
    <x v="0"/>
    <x v="3"/>
    <x v="4"/>
    <n v="1"/>
    <d v="2017-04-07T00:00:00"/>
    <d v="2017-04-17T00:00:00"/>
    <x v="0"/>
    <s v="CONTRATADO: ADICIÓN APAVE_x000a_Se crea en la versión 5 por solicitud de la Dirección Técnica"/>
    <n v="14070500"/>
    <n v="0"/>
    <m/>
    <n v="7"/>
    <x v="3"/>
    <n v="2017"/>
    <x v="0"/>
  </r>
  <r>
    <x v="39"/>
    <x v="1"/>
    <s v="10 organizaciones campesinas vinculadas al Sistema de Compras Institucionales"/>
    <x v="44"/>
    <x v="12"/>
    <s v="Seguridad alimentaria y desarrollo rural"/>
    <x v="0"/>
    <x v="0"/>
    <x v="0"/>
    <n v="5"/>
    <d v="2017-08-01T00:00:00"/>
    <d v="2017-08-08T00:00:00"/>
    <x v="0"/>
    <s v="CARLOS ANDRÉS GUERRERO CTO 78-17_x000a_4 MESES X 5.5 MILLONES "/>
    <n v="22000000"/>
    <n v="0"/>
    <m/>
    <n v="1"/>
    <x v="8"/>
    <n v="2017"/>
    <x v="0"/>
  </r>
  <r>
    <x v="40"/>
    <x v="1"/>
    <s v="3 Municipios con acción de cambio verde"/>
    <x v="45"/>
    <x v="12"/>
    <s v="Seguridad alimentaria y desarrollo rural"/>
    <x v="0"/>
    <x v="0"/>
    <x v="0"/>
    <n v="5"/>
    <d v="2017-07-15T00:00:00"/>
    <d v="2017-08-01T00:00:00"/>
    <x v="0"/>
    <s v="CONTRATO: CESAR VILLABONA CTO 076-17_x000a_4 MESES X 5.5 MILLONES"/>
    <n v="22000000"/>
    <n v="0"/>
    <m/>
    <n v="15"/>
    <x v="7"/>
    <n v="2017"/>
    <x v="0"/>
  </r>
  <r>
    <x v="40"/>
    <x v="1"/>
    <s v="3 Municipios con acción de cambio verde"/>
    <x v="46"/>
    <x v="30"/>
    <s v="Seguridad alimentaria y desarrollo rural"/>
    <x v="0"/>
    <x v="0"/>
    <x v="0"/>
    <s v="21 dias"/>
    <d v="2017-12-01T00:00:00"/>
    <d v="2017-12-10T00:00:00"/>
    <x v="0"/>
    <m/>
    <m/>
    <n v="3850000"/>
    <m/>
    <n v="1"/>
    <x v="6"/>
    <n v="2017"/>
    <x v="3"/>
  </r>
  <r>
    <x v="41"/>
    <x v="1"/>
    <s v="3 Municipios con acción de cambio verde"/>
    <x v="47"/>
    <x v="31"/>
    <s v="Seguridad alimentaria y desarrollo rural"/>
    <x v="0"/>
    <x v="0"/>
    <x v="0"/>
    <n v="5"/>
    <d v="2017-07-15T00:00:00"/>
    <d v="2017-08-01T00:00:00"/>
    <x v="0"/>
    <s v="CONTRATADO: MAIRA ALEJANDRA CTO 072-17 _x000a_4 MESES X 2.5 MILLONES_x000a_"/>
    <n v="10000000"/>
    <n v="0"/>
    <m/>
    <n v="15"/>
    <x v="7"/>
    <n v="2017"/>
    <x v="0"/>
  </r>
  <r>
    <x v="41"/>
    <x v="1"/>
    <s v="3 Municipios con acción de cambio verde"/>
    <x v="48"/>
    <x v="32"/>
    <s v="Seguridad alimentaria y desarrollo rural"/>
    <x v="0"/>
    <x v="0"/>
    <x v="0"/>
    <s v="1 mes y 7 días"/>
    <d v="2017-11-16T00:00:00"/>
    <d v="2017-11-24T00:00:00"/>
    <x v="0"/>
    <m/>
    <m/>
    <n v="3083333"/>
    <m/>
    <n v="13"/>
    <x v="4"/>
    <n v="2017"/>
    <x v="3"/>
  </r>
  <r>
    <x v="42"/>
    <x v="1"/>
    <s v="3 Municipios con acción de cambio verde"/>
    <x v="49"/>
    <x v="33"/>
    <s v="Seguridad alimentaria y desarrollo rural"/>
    <x v="0"/>
    <x v="0"/>
    <x v="0"/>
    <n v="3"/>
    <d v="2017-08-25T00:00:00"/>
    <d v="2017-09-01T00:00:00"/>
    <x v="0"/>
    <s v="CONTRATADO: KAROLINA LÓPEZ VELÁSQUEZ CTO 092-17_x000a_3 MESES X 5 MILLONES"/>
    <n v="1833333"/>
    <n v="0"/>
    <m/>
    <n v="25"/>
    <x v="8"/>
    <n v="2017"/>
    <x v="0"/>
  </r>
  <r>
    <x v="43"/>
    <x v="1"/>
    <s v="2 Mercados campesinos realizados en la Región Central"/>
    <x v="50"/>
    <x v="31"/>
    <s v="Seguridad alimentaria y desarrollo rural"/>
    <x v="0"/>
    <x v="0"/>
    <x v="0"/>
    <n v="5"/>
    <d v="2017-07-11T00:00:00"/>
    <d v="2017-07-14T00:00:00"/>
    <x v="0"/>
    <s v="CONTRATADO: RAFAEL ARLEY VIEDA CTO 068-17_x000a_4 MESES X 2.5 MILLONES"/>
    <n v="10000000"/>
    <n v="0"/>
    <m/>
    <n v="11"/>
    <x v="7"/>
    <n v="2017"/>
    <x v="0"/>
  </r>
  <r>
    <x v="43"/>
    <x v="1"/>
    <s v="2 Mercados campesinos realizados en la Región Central"/>
    <x v="51"/>
    <x v="34"/>
    <s v="Seguridad alimentaria y desarrollo rural"/>
    <x v="0"/>
    <x v="0"/>
    <x v="0"/>
    <s v="1 mes y 14 dias"/>
    <d v="2017-11-09T00:00:00"/>
    <d v="2017-11-17T00:00:00"/>
    <x v="0"/>
    <s v="CONTRATADO: RAFAEL ARLEY VIEDA CTO 068-17"/>
    <n v="3666667"/>
    <n v="0"/>
    <m/>
    <n v="9"/>
    <x v="4"/>
    <n v="2017"/>
    <x v="0"/>
  </r>
  <r>
    <x v="44"/>
    <x v="1"/>
    <s v="2 Mercados campesinos realizados en la Región Central"/>
    <x v="52"/>
    <x v="1"/>
    <s v="Seguridad alimentaria y desarrollo rural"/>
    <x v="0"/>
    <x v="4"/>
    <x v="3"/>
    <n v="1"/>
    <d v="2017-10-15T00:00:00"/>
    <d v="2017-11-30T00:00:00"/>
    <x v="0"/>
    <m/>
    <m/>
    <n v="0"/>
    <s v="Natalia Naranjo"/>
    <n v="15"/>
    <x v="9"/>
    <n v="2017"/>
    <x v="1"/>
  </r>
  <r>
    <x v="45"/>
    <x v="1"/>
    <s v="900 Familias identificadas para intervención"/>
    <x v="53"/>
    <x v="35"/>
    <s v="Seguridad alimentaria y desarrollo rural"/>
    <x v="0"/>
    <x v="0"/>
    <x v="0"/>
    <n v="2.5"/>
    <d v="2017-09-21T00:00:00"/>
    <d v="2017-10-01T00:00:00"/>
    <x v="0"/>
    <s v="ADICIONADO: SEBASTIAN DE JESUS OSORIO CTO 043-17"/>
    <n v="18500000"/>
    <n v="0"/>
    <m/>
    <n v="21"/>
    <x v="10"/>
    <n v="2017"/>
    <x v="0"/>
  </r>
  <r>
    <x v="46"/>
    <x v="1"/>
    <s v="900 Familias identificadas para intervención"/>
    <x v="54"/>
    <x v="36"/>
    <s v="Seguridad alimentaria y desarrollo rural"/>
    <x v="0"/>
    <x v="5"/>
    <x v="5"/>
    <n v="4"/>
    <d v="2017-08-15T00:00:00"/>
    <d v="2017-10-15T00:00:00"/>
    <x v="0"/>
    <m/>
    <m/>
    <n v="456572072"/>
    <s v="Angela Moreno"/>
    <n v="15"/>
    <x v="8"/>
    <n v="2017"/>
    <x v="4"/>
  </r>
  <r>
    <x v="47"/>
    <x v="1"/>
    <s v="3 Municipios con acción de cambio verde"/>
    <x v="55"/>
    <x v="37"/>
    <s v="Seguridad alimentaria y desarrollo rural"/>
    <x v="0"/>
    <x v="0"/>
    <x v="6"/>
    <s v="N/A"/>
    <d v="2017-11-09T00:00:00"/>
    <d v="2017-11-15T00:00:00"/>
    <x v="0"/>
    <s v="CONTRATADO "/>
    <m/>
    <n v="11169866"/>
    <m/>
    <n v="8"/>
    <x v="4"/>
    <n v="2017"/>
    <x v="0"/>
  </r>
  <r>
    <x v="48"/>
    <x v="1"/>
    <s v="3 Municipios con acción de cambio verde"/>
    <x v="56"/>
    <x v="38"/>
    <s v="Seguridad alimentaria y desarrollo rural"/>
    <x v="0"/>
    <x v="0"/>
    <x v="0"/>
    <n v="1.5"/>
    <d v="2017-11-09T00:00:00"/>
    <d v="2017-11-15T00:00:00"/>
    <x v="1"/>
    <s v="CONTRATADO: FUNDACIÓN CULTURAL BALLET FOLCLÓRICO TIERRA COLOMBIANA CTO 115-17"/>
    <n v="2236770"/>
    <n v="0"/>
    <m/>
    <n v="9"/>
    <x v="4"/>
    <n v="2017"/>
    <x v="0"/>
  </r>
  <r>
    <x v="49"/>
    <x v="2"/>
    <s v="1 acciones logística concertada y cofinanciadas, para el mejoramiento de la red de distribución y cadenas de abastecimiento en horarios de cargue y descargue nocturno"/>
    <x v="57"/>
    <x v="1"/>
    <s v="Infraestructuras de transporte, logística y servicios públicos"/>
    <x v="0"/>
    <x v="0"/>
    <x v="2"/>
    <n v="1.5"/>
    <d v="2017-10-15T00:00:00"/>
    <d v="2017-11-15T00:00:00"/>
    <x v="0"/>
    <s v="Se modifica en la versión 4 por solicitud de la Dirección Técnica_x000a_Se modifica en la versión 8 por solicitud de la Dirección Técnica"/>
    <m/>
    <n v="0"/>
    <s v="Angela Moreno"/>
    <n v="15"/>
    <x v="9"/>
    <n v="2017"/>
    <x v="1"/>
  </r>
  <r>
    <x v="50"/>
    <x v="2"/>
    <s v="Mejorar la capacidad logística de la Región Central"/>
    <x v="58"/>
    <x v="1"/>
    <s v="Infraestructuras de transporte, logística y servicios públicos"/>
    <x v="1"/>
    <x v="1"/>
    <x v="1"/>
    <s v="N/A"/>
    <m/>
    <m/>
    <x v="0"/>
    <s v="Se modifica en la versión 4 por solicitud de la Dirección Técnica"/>
    <m/>
    <n v="0"/>
    <m/>
    <m/>
    <x v="1"/>
    <m/>
    <x v="1"/>
  </r>
  <r>
    <x v="51"/>
    <x v="2"/>
    <s v="2 Proyectos del PMTIRC priorizados para formulación de fase II"/>
    <x v="59"/>
    <x v="39"/>
    <s v="Infraestructuras de transporte, logística y servicios públicos"/>
    <x v="0"/>
    <x v="0"/>
    <x v="0"/>
    <n v="5"/>
    <d v="2017-02-01T00:00:00"/>
    <d v="2017-02-13T00:00:00"/>
    <x v="0"/>
    <s v="CONTRATADO: JULIÁN MORENO_x000a_5 MESES X 5´1 MILLONES_x000a_Se modifica en la versión 4 por solicitud de la Dirección Técnica"/>
    <n v="25500000"/>
    <n v="0"/>
    <m/>
    <n v="1"/>
    <x v="0"/>
    <n v="2017"/>
    <x v="0"/>
  </r>
  <r>
    <x v="52"/>
    <x v="2"/>
    <s v="2 Proyectos del PMTIRC priorizados para formulación de fase II"/>
    <x v="60"/>
    <x v="1"/>
    <s v="Infraestructuras de transporte, logística y servicios públicos"/>
    <x v="1"/>
    <x v="1"/>
    <x v="1"/>
    <s v="N/A"/>
    <m/>
    <m/>
    <x v="0"/>
    <s v="Se modifica en la versión 4 por solicitud de la Dirección Técnica_x000a_Se elimina en la versión 8 por solicitud de la Dirección Técnica"/>
    <m/>
    <n v="0"/>
    <m/>
    <m/>
    <x v="1"/>
    <m/>
    <x v="1"/>
  </r>
  <r>
    <x v="53"/>
    <x v="2"/>
    <s v="Infraestructuras de transporte, logística y servicios públicos"/>
    <x v="12"/>
    <x v="40"/>
    <s v="Infraestructuras de transporte, logística y servicios públicos"/>
    <x v="1"/>
    <x v="1"/>
    <x v="1"/>
    <s v="N/A"/>
    <m/>
    <m/>
    <x v="0"/>
    <s v="Se modifica en la versión 8 por solicitud de la Dirección Técnica"/>
    <m/>
    <n v="1900000"/>
    <m/>
    <m/>
    <x v="1"/>
    <m/>
    <x v="2"/>
  </r>
  <r>
    <x v="54"/>
    <x v="2"/>
    <s v="2 Proyectos del PMTIRC priorizados para formulación de fase II"/>
    <x v="61"/>
    <x v="1"/>
    <s v="Infraestructuras de transporte, logística y servicios públicos"/>
    <x v="1"/>
    <x v="1"/>
    <x v="1"/>
    <s v="N/A"/>
    <m/>
    <m/>
    <x v="0"/>
    <s v="Se modifica en la versión 4 por solicitud de la Dirección Técnica_x000a_Se elimina en la versión 8 por solicitud de la Dirección Técnica"/>
    <m/>
    <n v="0"/>
    <m/>
    <m/>
    <x v="1"/>
    <m/>
    <x v="1"/>
  </r>
  <r>
    <x v="55"/>
    <x v="2"/>
    <s v="2 Proyectos del PMTIRC priorizados para formulación de fase II"/>
    <x v="62"/>
    <x v="1"/>
    <s v="Infraestructuras de transporte, logística y servicios públicos"/>
    <x v="1"/>
    <x v="1"/>
    <x v="1"/>
    <s v="N/A"/>
    <m/>
    <m/>
    <x v="0"/>
    <s v="Se elimina en la versión 8 por solicitud de la Dirección Técnica"/>
    <m/>
    <n v="0"/>
    <m/>
    <m/>
    <x v="1"/>
    <m/>
    <x v="1"/>
  </r>
  <r>
    <x v="56"/>
    <x v="2"/>
    <s v="2 Proyectos del PMTIRC priorizados para formulación de fase II"/>
    <x v="63"/>
    <x v="41"/>
    <s v="Infraestructuras de transporte, logística y servicios públicos"/>
    <x v="0"/>
    <x v="0"/>
    <x v="0"/>
    <n v="4"/>
    <d v="2017-08-01T00:00:00"/>
    <d v="2017-08-15T00:00:00"/>
    <x v="0"/>
    <s v="CONTRATADO: Jorge Aya CTO 087-17_x000a_7 MILLONES X 4 MESES_x000a_Se crea en la versión 8 por solicitud de la Dirección Técnica"/>
    <n v="28000000"/>
    <n v="0"/>
    <m/>
    <n v="1"/>
    <x v="8"/>
    <n v="2017"/>
    <x v="0"/>
  </r>
  <r>
    <x v="57"/>
    <x v="3"/>
    <s v="2 Productos Turísticos Regionales en implementación"/>
    <x v="64"/>
    <x v="42"/>
    <s v="Competitividad y proyección internacional"/>
    <x v="0"/>
    <x v="0"/>
    <x v="0"/>
    <n v="6"/>
    <d v="2017-01-13T00:00:00"/>
    <d v="2017-02-01T00:00:00"/>
    <x v="0"/>
    <s v="CONTRATADO: JUAN JOSÉ LAMAR_x000a_6 MESES X 6´5 MILLONES_x000a_Se modifica en la versión 4 por solicitud de la Dirección Técnica"/>
    <n v="39000000"/>
    <n v="0"/>
    <m/>
    <n v="13"/>
    <x v="2"/>
    <n v="2017"/>
    <x v="0"/>
  </r>
  <r>
    <x v="58"/>
    <x v="3"/>
    <s v="1 Acción de fortalecimiento de las Comisiones Regionales de Competitividad"/>
    <x v="65"/>
    <x v="43"/>
    <s v="Competitividad y proyección internacional"/>
    <x v="0"/>
    <x v="0"/>
    <x v="0"/>
    <n v="6"/>
    <d v="2017-01-13T00:00:00"/>
    <d v="2017-02-01T00:00:00"/>
    <x v="0"/>
    <s v="JOSE FRANCISCO SEQUEDA_x000a_6 MESES X 4^2 MILLONES_x000a_Se modifica en la versión 4 por solicitud de la Dirección Técnica"/>
    <n v="25200000"/>
    <n v="0"/>
    <m/>
    <n v="13"/>
    <x v="2"/>
    <n v="2017"/>
    <x v="0"/>
  </r>
  <r>
    <x v="58"/>
    <x v="3"/>
    <s v="1 Acción de fortalecimiento de las Comisiones Regionales de Competitividad"/>
    <x v="66"/>
    <x v="14"/>
    <s v="Competitividad y proyección internacional"/>
    <x v="0"/>
    <x v="0"/>
    <x v="0"/>
    <n v="3"/>
    <d v="2017-09-01T00:00:00"/>
    <d v="2017-09-09T00:00:00"/>
    <x v="0"/>
    <s v="JOSE FRANCISCO SEQUEDA_x000a_Se modifica en la versión 4 por solicitud de la Dirección Técnica"/>
    <n v="12600000"/>
    <n v="0"/>
    <m/>
    <n v="1"/>
    <x v="10"/>
    <n v="2017"/>
    <x v="0"/>
  </r>
  <r>
    <x v="59"/>
    <x v="3"/>
    <s v="diseñar una estrategia de especialización inteligente para la región articulada a la definida para Bogotá-Cundinamarca e implementar uno de los proyectos priorizados en la agenda regional "/>
    <x v="67"/>
    <x v="1"/>
    <s v="Competitividad y proyección internacional"/>
    <x v="1"/>
    <x v="1"/>
    <x v="1"/>
    <s v="N/A"/>
    <m/>
    <m/>
    <x v="0"/>
    <s v="Se modifica en la versión 4 por solicitud de la Dirección Técnica_x000a_Se elimina en la versión 8 a solicitud de la Dirección Técnica"/>
    <m/>
    <n v="0"/>
    <m/>
    <m/>
    <x v="1"/>
    <m/>
    <x v="1"/>
  </r>
  <r>
    <x v="60"/>
    <x v="3"/>
    <s v="Articular los territorios de la Región Central a través del desarrollo de productos turisticos asociados al turismo de naturaleza"/>
    <x v="68"/>
    <x v="1"/>
    <s v="Competitividad y proyección internacional"/>
    <x v="1"/>
    <x v="1"/>
    <x v="1"/>
    <s v="N/A"/>
    <m/>
    <m/>
    <x v="0"/>
    <s v="Se modifica en la versión 4 por solicitud de la Dirección Técnica_x000a_Se elimina en la versión 8 a solicitud de la Dirección Técnica"/>
    <m/>
    <n v="0"/>
    <m/>
    <m/>
    <x v="1"/>
    <m/>
    <x v="1"/>
  </r>
  <r>
    <x v="61"/>
    <x v="3"/>
    <s v="Articular los territorios de la Región Central a través del desarrollo de productos turisticos asociados al turismo de naturaleza"/>
    <x v="69"/>
    <x v="1"/>
    <s v="Competitividad y proyección internacional"/>
    <x v="1"/>
    <x v="1"/>
    <x v="1"/>
    <s v="N/A"/>
    <m/>
    <m/>
    <x v="0"/>
    <s v="Se modifica en la versión 4 por solicitud de la Dirección Técnica_x000a_Se elimina en la versión 8 a solicitud de la Dirección Técnica"/>
    <m/>
    <n v="0"/>
    <m/>
    <m/>
    <x v="1"/>
    <m/>
    <x v="1"/>
  </r>
  <r>
    <x v="62"/>
    <x v="3"/>
    <s v="Articular los territorios de la Región Central a través del desarrollo de productos turisticos asociados al turismo de naturaleza"/>
    <x v="70"/>
    <x v="1"/>
    <s v="Competitividad y proyección internacional"/>
    <x v="1"/>
    <x v="1"/>
    <x v="1"/>
    <s v="N/A"/>
    <m/>
    <m/>
    <x v="0"/>
    <s v="Se modifica en la versión 4 por solicitud de la Dirección Técnica_x000a_Se elimina en la versión 8 a solicitud de la Dirección Técnica"/>
    <m/>
    <n v="0"/>
    <m/>
    <m/>
    <x v="1"/>
    <m/>
    <x v="1"/>
  </r>
  <r>
    <x v="63"/>
    <x v="3"/>
    <s v="Competitividad y proyección internacional"/>
    <x v="12"/>
    <x v="44"/>
    <s v="Competitividad y proyección internacional"/>
    <x v="0"/>
    <x v="1"/>
    <x v="1"/>
    <n v="11"/>
    <m/>
    <m/>
    <x v="0"/>
    <s v="En ejecución_x000a_Se modifica en la versión 4 por solicitud de la Dirección Técnica"/>
    <m/>
    <n v="26500000"/>
    <m/>
    <m/>
    <x v="1"/>
    <m/>
    <x v="2"/>
  </r>
  <r>
    <x v="64"/>
    <x v="3"/>
    <s v="diseñar una estrategia de especialización inteligente para la región articulada a la definida para Bogotá-Cundinamarca e implementar uno de los proyectos priorizados en la agenda regional "/>
    <x v="71"/>
    <x v="1"/>
    <s v="Competitividad y proyección internacional"/>
    <x v="1"/>
    <x v="1"/>
    <x v="1"/>
    <s v="N/A"/>
    <m/>
    <m/>
    <x v="0"/>
    <s v="Se modifica en la versión 4 por solicitud de la Dirección Técnica_x000a_Se elimina en la versión 8 a solicitud de la Dirección Técnica"/>
    <m/>
    <n v="0"/>
    <m/>
    <m/>
    <x v="1"/>
    <m/>
    <x v="1"/>
  </r>
  <r>
    <x v="65"/>
    <x v="3"/>
    <s v="Articular los territorios de la Región Central a través del desarrollo de productos turisticos asociados al turismo de naturaleza"/>
    <x v="72"/>
    <x v="1"/>
    <s v="Competitividad y proyección internacional"/>
    <x v="1"/>
    <x v="1"/>
    <x v="1"/>
    <s v="N/A"/>
    <m/>
    <m/>
    <x v="0"/>
    <s v="Se modifica en la versión 4 por solicitud de la Dirección Técnica_x000a_Se elimina en la versión 8 a solicitud de la Dirección Técnica"/>
    <m/>
    <n v="0"/>
    <m/>
    <m/>
    <x v="1"/>
    <m/>
    <x v="1"/>
  </r>
  <r>
    <x v="66"/>
    <x v="3"/>
    <s v="2 Productos Turísticos Regionales en implementación"/>
    <x v="73"/>
    <x v="45"/>
    <s v="Competitividad y proyección internacional"/>
    <x v="0"/>
    <x v="0"/>
    <x v="0"/>
    <n v="9"/>
    <d v="2017-03-06T00:00:00"/>
    <d v="2017-03-13T00:00:00"/>
    <x v="0"/>
    <s v="CONTRATADO: MIGUEL RAMIRO GIL_x000a_CONTRATO 057-17 _x000a_6 MESES X 4 MILLONES_x000a_ Se crea en la versión 4 por solicitud de la Dirección Técnica"/>
    <n v="24000000"/>
    <n v="0"/>
    <m/>
    <n v="6"/>
    <x v="5"/>
    <n v="2017"/>
    <x v="0"/>
  </r>
  <r>
    <x v="66"/>
    <x v="3"/>
    <s v="2 Productos Turísticos Regionales en implementación"/>
    <x v="74"/>
    <x v="46"/>
    <s v="Competitividad y proyección internacional"/>
    <x v="0"/>
    <x v="0"/>
    <x v="0"/>
    <n v="2"/>
    <d v="2017-10-25T00:00:00"/>
    <d v="2017-11-01T00:00:00"/>
    <x v="0"/>
    <s v="Adicionado: Miguel Gil Cto 057-17"/>
    <n v="7866667"/>
    <n v="133333"/>
    <m/>
    <n v="25"/>
    <x v="9"/>
    <n v="2017"/>
    <x v="0"/>
  </r>
  <r>
    <x v="67"/>
    <x v="3"/>
    <s v="2 Productos Turísticos Regionales en implementación"/>
    <x v="75"/>
    <x v="47"/>
    <s v="Competitividad y proyección internacional"/>
    <x v="0"/>
    <x v="2"/>
    <x v="7"/>
    <n v="1"/>
    <d v="2017-12-01T00:00:00"/>
    <d v="2017-12-05T00:00:00"/>
    <x v="0"/>
    <s v="CONTRATADO: INGEART CV S.A.S CTO 117-17_x000a_Se crea en la versión 8 a solicitud de la Dirección Técnica"/>
    <n v="292909688"/>
    <n v="77090312"/>
    <s v="Natalia Naranjo"/>
    <n v="15"/>
    <x v="10"/>
    <n v="2017"/>
    <x v="0"/>
  </r>
  <r>
    <x v="47"/>
    <x v="3"/>
    <s v="2 Productos Turísticos Regionales en implementación"/>
    <x v="76"/>
    <x v="48"/>
    <s v="Competitividad y proyección internacional"/>
    <x v="0"/>
    <x v="0"/>
    <x v="6"/>
    <n v="3"/>
    <d v="2017-08-11T00:00:00"/>
    <d v="2017-09-30T00:00:00"/>
    <x v="1"/>
    <s v="CONTRATADO: TV ANDINA CANAL 13 CTO 099-17"/>
    <n v="55000000"/>
    <n v="0"/>
    <s v="Claudia Paez"/>
    <n v="11"/>
    <x v="8"/>
    <n v="2017"/>
    <x v="0"/>
  </r>
  <r>
    <x v="47"/>
    <x v="0"/>
    <s v="1 Proyecto Páramos en ejecución"/>
    <x v="55"/>
    <x v="49"/>
    <s v="Sustentabilidad ecosistémica y manejo de riesgos"/>
    <x v="0"/>
    <x v="0"/>
    <x v="6"/>
    <s v="N/A"/>
    <d v="2017-11-09T00:00:00"/>
    <d v="2017-11-15T00:00:00"/>
    <x v="0"/>
    <m/>
    <m/>
    <n v="21830134"/>
    <m/>
    <n v="8"/>
    <x v="4"/>
    <n v="2017"/>
    <x v="4"/>
  </r>
  <r>
    <x v="68"/>
    <x v="3"/>
    <s v="2 Productos Turísticos Regionales en implementación"/>
    <x v="77"/>
    <x v="1"/>
    <s v="Competitividad y proyección internacional"/>
    <x v="0"/>
    <x v="6"/>
    <x v="3"/>
    <n v="2.5"/>
    <d v="2017-08-15T00:00:00"/>
    <d v="2017-10-02T00:00:00"/>
    <x v="0"/>
    <s v="Se crea en la versión 8 a solicitud de la Dirección Técnica_x000a_Se elimina en la versión 10 a solicitud de la Dirección Técnica"/>
    <m/>
    <n v="0"/>
    <s v="Natalia Naranjo"/>
    <n v="15"/>
    <x v="8"/>
    <n v="2017"/>
    <x v="1"/>
  </r>
  <r>
    <x v="69"/>
    <x v="3"/>
    <s v="2 Productos Turísticos Regionales en implementación"/>
    <x v="78"/>
    <x v="50"/>
    <s v="Competitividad y proyección internacional"/>
    <x v="0"/>
    <x v="5"/>
    <x v="5"/>
    <n v="3.5"/>
    <d v="2017-08-11T00:00:00"/>
    <d v="2017-10-10T00:00:00"/>
    <x v="0"/>
    <s v="CONTRATADO: CONSORCIO FAME CTO 104-17_x000a_Se crea en la versión 8 a solicitud de la Dirección Técnica"/>
    <n v="69656650"/>
    <n v="343350"/>
    <s v="Angela Moreno"/>
    <n v="11"/>
    <x v="8"/>
    <n v="2017"/>
    <x v="0"/>
  </r>
  <r>
    <x v="70"/>
    <x v="3"/>
    <s v="2 Productos Turísticos Regionales en implementación"/>
    <x v="79"/>
    <x v="51"/>
    <s v="Competitividad y proyección internacional"/>
    <x v="0"/>
    <x v="0"/>
    <x v="0"/>
    <n v="5"/>
    <d v="2017-07-23T00:00:00"/>
    <d v="2017-08-01T00:00:00"/>
    <x v="0"/>
    <s v="CONTRATADO: JUAN JOSÉ LAMAR MONTOYA _x000a_7 MILLONE SX 4 MESES CTO 075-17_x000a_Se crea en la versión 8 a solicitud de la Dirección Técnica"/>
    <n v="28000000"/>
    <n v="7000000"/>
    <m/>
    <n v="23"/>
    <x v="7"/>
    <n v="2017"/>
    <x v="0"/>
  </r>
  <r>
    <x v="70"/>
    <x v="3"/>
    <s v="2 Productos Turísticos Regionales en implementación"/>
    <x v="80"/>
    <x v="52"/>
    <s v="Competitividad y proyección internacional"/>
    <x v="0"/>
    <x v="0"/>
    <x v="0"/>
    <n v="1"/>
    <d v="2017-11-23T00:00:00"/>
    <d v="2017-12-01T00:00:00"/>
    <x v="0"/>
    <m/>
    <m/>
    <n v="7000000"/>
    <m/>
    <n v="23"/>
    <x v="4"/>
    <n v="2017"/>
    <x v="3"/>
  </r>
  <r>
    <x v="71"/>
    <x v="3"/>
    <s v="1 Perfil de proyecto formulado entorno a la ruta de integración para la PAZ"/>
    <x v="81"/>
    <x v="1"/>
    <s v="Competitividad y proyección internacional"/>
    <x v="0"/>
    <x v="5"/>
    <x v="5"/>
    <s v="N/A"/>
    <s v="N/A"/>
    <s v="N/A"/>
    <x v="0"/>
    <s v="Se crea en la versión 8 a solicitud de la Dirección Técnica"/>
    <m/>
    <n v="0"/>
    <s v="Natalia Naranjo"/>
    <n v="15"/>
    <x v="9"/>
    <n v="2017"/>
    <x v="1"/>
  </r>
  <r>
    <x v="72"/>
    <x v="3"/>
    <s v="1 Perfil de proyecto formulado entorno a la ruta de integración para la PAZ"/>
    <x v="82"/>
    <x v="53"/>
    <s v="Competitividad y proyección internacional"/>
    <x v="0"/>
    <x v="6"/>
    <x v="3"/>
    <n v="2"/>
    <d v="2017-09-15T00:00:00"/>
    <d v="2017-11-01T00:00:00"/>
    <x v="0"/>
    <s v="CONTRATADO: FUNDACIÓN PARA EL DESARROLLO Y FORTALECIMIENTO TERRITORIAL VISIÓN LOCAL CTO: 114-17_x000a_Se crea en la versión 8 a solicitud de la Dirección Técnica"/>
    <n v="150000000"/>
    <n v="0"/>
    <s v="Natalia Naranjo"/>
    <n v="15"/>
    <x v="10"/>
    <n v="2017"/>
    <x v="0"/>
  </r>
  <r>
    <x v="72"/>
    <x v="3"/>
    <s v="1 Perfil de proyecto formulado entorno a la ruta de integración para la PAZ"/>
    <x v="83"/>
    <x v="54"/>
    <s v="Competitividad y proyección internacional"/>
    <x v="0"/>
    <x v="3"/>
    <x v="3"/>
    <n v="1"/>
    <d v="2017-12-15T00:00:00"/>
    <d v="2017-12-15T00:00:00"/>
    <x v="0"/>
    <m/>
    <m/>
    <n v="73000000"/>
    <m/>
    <n v="15"/>
    <x v="6"/>
    <n v="2017"/>
    <x v="3"/>
  </r>
  <r>
    <x v="73"/>
    <x v="3"/>
    <s v="1 Perfil de proyecto formulado entorno a la ruta de integración para la PAZ"/>
    <x v="84"/>
    <x v="55"/>
    <s v="Competitividad y proyección internacional"/>
    <x v="0"/>
    <x v="0"/>
    <x v="0"/>
    <n v="4"/>
    <d v="2017-08-22T00:00:00"/>
    <d v="2017-09-01T00:00:00"/>
    <x v="0"/>
    <s v="CONTRATADO: Jorge Mauricio Bonilla CTO 086-17_x000a_6.5 MILLONES X 4 MESES_x000a_Se crea en la versión 8 a solicitud de la Dirección Técnica"/>
    <n v="26000000"/>
    <n v="0"/>
    <m/>
    <n v="22"/>
    <x v="8"/>
    <n v="2017"/>
    <x v="0"/>
  </r>
  <r>
    <x v="74"/>
    <x v="3"/>
    <s v="1 Acción de fortalecimiento de las Comisiones Regionales de Competitividad"/>
    <x v="85"/>
    <x v="1"/>
    <s v="Competitividad y proyección internacional"/>
    <x v="0"/>
    <x v="0"/>
    <x v="8"/>
    <n v="4"/>
    <d v="2017-08-30T00:00:00"/>
    <d v="2017-09-15T00:00:00"/>
    <x v="0"/>
    <s v="Se crea en la versión 8 a solicitud de la Dirección Técnica"/>
    <m/>
    <n v="0"/>
    <s v="Claudia Paez"/>
    <n v="30"/>
    <x v="8"/>
    <n v="2017"/>
    <x v="3"/>
  </r>
  <r>
    <x v="75"/>
    <x v="3"/>
    <s v="1 Perfil de proyecto formulado entorno a la ruta de integración para la PAZ"/>
    <x v="86"/>
    <x v="55"/>
    <s v="Competitividad y proyección internacional"/>
    <x v="0"/>
    <x v="0"/>
    <x v="0"/>
    <n v="4"/>
    <d v="2017-08-15T00:00:00"/>
    <d v="2017-09-01T00:00:00"/>
    <x v="0"/>
    <s v="CONTRATADO: JUAN NICOLÁS SÁNCHEZ SILVA CTO 080-17_x000a_4 MESES X 6.5 MILLONES_x000a_Se crea en la versión 9 a solicitud de la Dirección Técnica"/>
    <n v="26000000"/>
    <n v="0"/>
    <m/>
    <n v="15"/>
    <x v="8"/>
    <n v="2017"/>
    <x v="0"/>
  </r>
  <r>
    <x v="76"/>
    <x v="3"/>
    <s v="1 Perfil de proyecto formulado entorno a la ruta de integración para la PAZ"/>
    <x v="87"/>
    <x v="23"/>
    <s v="Competitividad y proyección internacional"/>
    <x v="0"/>
    <x v="0"/>
    <x v="0"/>
    <n v="4"/>
    <d v="2017-08-15T00:00:00"/>
    <d v="2017-09-01T00:00:00"/>
    <x v="0"/>
    <s v="CONTATADO: Osman Diaz CTO 085-17_x000a_4.5 MILLONES X 4 MESES_x000a_Se crea en la versión 9 a solicitud de la Dirección Técnica"/>
    <n v="18000000"/>
    <n v="0"/>
    <m/>
    <n v="15"/>
    <x v="8"/>
    <n v="2017"/>
    <x v="0"/>
  </r>
  <r>
    <x v="77"/>
    <x v="3"/>
    <s v="2 Productos Turísticos Regionales en implementación"/>
    <x v="88"/>
    <x v="56"/>
    <s v="Competitividad y proyección internacional"/>
    <x v="0"/>
    <x v="4"/>
    <x v="9"/>
    <n v="1"/>
    <d v="2017-12-01T00:00:00"/>
    <d v="2017-12-05T00:00:00"/>
    <x v="0"/>
    <s v="CONTRATADO: MARLY YANIR DAZA ZEA CTO 116-17 _x000a_Se crea en la versión 9 a solicitud de la Dirección Técnica"/>
    <n v="20000000"/>
    <n v="0"/>
    <s v="Natalia Naranjo"/>
    <n v="8"/>
    <x v="10"/>
    <n v="2017"/>
    <x v="0"/>
  </r>
  <r>
    <x v="77"/>
    <x v="3"/>
    <s v="2 Productos Turísticos Regionales en implementación"/>
    <x v="89"/>
    <x v="57"/>
    <s v="Competitividad y proyección internacional"/>
    <x v="0"/>
    <x v="3"/>
    <x v="9"/>
    <n v="1"/>
    <d v="2017-12-15T00:00:00"/>
    <d v="2017-12-15T00:00:00"/>
    <x v="0"/>
    <m/>
    <m/>
    <n v="7200000"/>
    <m/>
    <n v="15"/>
    <x v="6"/>
    <n v="2017"/>
    <x v="3"/>
  </r>
  <r>
    <x v="78"/>
    <x v="3"/>
    <s v="2 Productos Turísticos Regionales en implementación"/>
    <x v="90"/>
    <x v="1"/>
    <s v="Competitividad y proyección internacional"/>
    <x v="0"/>
    <x v="5"/>
    <x v="5"/>
    <s v="N/A"/>
    <s v="N/A"/>
    <s v="N/A"/>
    <x v="0"/>
    <m/>
    <m/>
    <n v="0"/>
    <m/>
    <n v="30"/>
    <x v="10"/>
    <n v="2017"/>
    <x v="1"/>
  </r>
  <r>
    <x v="79"/>
    <x v="3"/>
    <s v="1 Perfil de proyecto formulado entorno a la ruta de integración para la PAZ"/>
    <x v="91"/>
    <x v="58"/>
    <s v="Competitividad y proyección internacional"/>
    <x v="0"/>
    <x v="0"/>
    <x v="0"/>
    <n v="2.5"/>
    <d v="2017-10-02T00:00:00"/>
    <d v="2017-10-09T00:00:00"/>
    <x v="0"/>
    <s v="CONTRATADO: ERIKA VIVIANA CAJICÁ COLLAZOS CTO 110-17"/>
    <n v="4320000"/>
    <n v="1680000"/>
    <m/>
    <n v="2"/>
    <x v="9"/>
    <n v="2017"/>
    <x v="0"/>
  </r>
  <r>
    <x v="80"/>
    <x v="3"/>
    <s v="2 Productos Turísticos Regionales en implementación"/>
    <x v="56"/>
    <x v="59"/>
    <s v="Competitividad y proyección internacional"/>
    <x v="0"/>
    <x v="0"/>
    <x v="0"/>
    <n v="1.5"/>
    <d v="2017-11-09T00:00:00"/>
    <d v="2017-11-15T00:00:00"/>
    <x v="0"/>
    <s v="CONTRATADO: FUNDACIÓN CULTURAL BALLET FOLCLÓRICO TIERRA COLOMBIANA CTO 115-17"/>
    <n v="32763230"/>
    <n v="0"/>
    <m/>
    <n v="9"/>
    <x v="4"/>
    <n v="2017"/>
    <x v="0"/>
  </r>
  <r>
    <x v="81"/>
    <x v="3"/>
    <s v="2 Productos Turísticos Regionales en implementación"/>
    <x v="92"/>
    <x v="60"/>
    <s v="Competitividad y proyección internacional"/>
    <x v="0"/>
    <x v="7"/>
    <x v="3"/>
    <n v="1"/>
    <d v="2017-11-09T00:00:00"/>
    <d v="2017-11-15T00:00:00"/>
    <x v="1"/>
    <s v="CONTRATADO: CANAL REGIONAL  DE TELEVISIÓN TEVEANDINA LTDA – TEVEANDINA LTDA CTO 112-17"/>
    <n v="41490572"/>
    <n v="0"/>
    <m/>
    <n v="9"/>
    <x v="4"/>
    <n v="2017"/>
    <x v="0"/>
  </r>
  <r>
    <x v="82"/>
    <x v="4"/>
    <s v="1 Propuesta de articulación de instrumentos de ordenamiento territorial"/>
    <x v="93"/>
    <x v="24"/>
    <s v="Gobernanza y buen gobierno"/>
    <x v="0"/>
    <x v="0"/>
    <x v="0"/>
    <n v="8"/>
    <d v="2017-03-07T00:00:00"/>
    <d v="2017-03-13T00:00:00"/>
    <x v="0"/>
    <s v="CONTRATADO: LUIS GUILERMO VACA_x000a_6 MESES X 5¨5 MILLONES"/>
    <n v="33000000"/>
    <n v="0"/>
    <m/>
    <n v="7"/>
    <x v="5"/>
    <n v="2017"/>
    <x v="0"/>
  </r>
  <r>
    <x v="82"/>
    <x v="4"/>
    <s v="1 Propuesta de articulación de instrumentos de ordenamiento territorial"/>
    <x v="94"/>
    <x v="3"/>
    <s v="Gobernanza y buen gobierno"/>
    <x v="0"/>
    <x v="0"/>
    <x v="0"/>
    <n v="3"/>
    <d v="2017-09-01T00:00:00"/>
    <d v="2017-09-08T00:00:00"/>
    <x v="0"/>
    <s v="CONTRATADO: LUIS GUILERMO VACA_x000a_Se crea en la versión 8 por solicitud de la Dirección Técnica"/>
    <n v="16500000"/>
    <n v="0"/>
    <m/>
    <n v="1"/>
    <x v="10"/>
    <n v="2017"/>
    <x v="0"/>
  </r>
  <r>
    <x v="83"/>
    <x v="4"/>
    <s v="1 Propuesta de articulación de instrumentos de ordenamiento territorial"/>
    <x v="95"/>
    <x v="61"/>
    <s v="Gobernanza y buen gobierno"/>
    <x v="0"/>
    <x v="0"/>
    <x v="0"/>
    <n v="11"/>
    <d v="2017-02-01T00:00:00"/>
    <d v="2017-02-13T00:00:00"/>
    <x v="0"/>
    <s v="CONTRATADO: VIVIANA BELTRÁN_x000a_6 MESES X 3,6 MILLONES"/>
    <n v="21600000"/>
    <n v="0"/>
    <m/>
    <n v="1"/>
    <x v="0"/>
    <n v="2017"/>
    <x v="0"/>
  </r>
  <r>
    <x v="83"/>
    <x v="4"/>
    <s v="1 Propuesta de articulación de instrumentos de ordenamiento territorial"/>
    <x v="96"/>
    <x v="62"/>
    <s v="Gobernanza y buen gobierno"/>
    <x v="0"/>
    <x v="0"/>
    <x v="0"/>
    <n v="3"/>
    <d v="2017-08-02T00:00:00"/>
    <d v="2017-08-05T00:00:00"/>
    <x v="0"/>
    <s v="ADICIONADO: VIVIANA BELTRÁN"/>
    <n v="10800000"/>
    <n v="0"/>
    <m/>
    <n v="2"/>
    <x v="8"/>
    <n v="2017"/>
    <x v="0"/>
  </r>
  <r>
    <x v="84"/>
    <x v="4"/>
    <s v="1 Documento de lineamientos para la articulación del Infraestructura de Datos Espaciales Regionales  (IDER) en los Departamentos de Boyacá, Meta y Tolima"/>
    <x v="97"/>
    <x v="24"/>
    <s v="Gobernanza y buen gobierno"/>
    <x v="0"/>
    <x v="0"/>
    <x v="0"/>
    <n v="11"/>
    <d v="2017-01-20T00:00:00"/>
    <d v="2017-02-10T00:00:00"/>
    <x v="0"/>
    <s v="CONTRATADO: ANA JULIER FONSECA_x000a_7 MESES X 5´5 MILLONES"/>
    <n v="33000000"/>
    <n v="0"/>
    <m/>
    <n v="20"/>
    <x v="2"/>
    <n v="2017"/>
    <x v="0"/>
  </r>
  <r>
    <x v="85"/>
    <x v="4"/>
    <s v="1 Propuesta de articulación de instrumentos de ordenamiento territoria"/>
    <x v="98"/>
    <x v="63"/>
    <s v="Gobernanza y buen gobierno"/>
    <x v="0"/>
    <x v="0"/>
    <x v="0"/>
    <n v="11"/>
    <d v="2017-02-01T00:00:00"/>
    <d v="2017-02-13T00:00:00"/>
    <x v="0"/>
    <s v="CONTRATADO: JAIME FLÓREZ_x000a_6 MESES X 6 ´8 MILLONES_x000a_Se modifica en la versión 4 por solicitud de la Dirección Técnica"/>
    <n v="40800000"/>
    <n v="0"/>
    <m/>
    <n v="1"/>
    <x v="0"/>
    <n v="2017"/>
    <x v="0"/>
  </r>
  <r>
    <x v="86"/>
    <x v="4"/>
    <s v="Articular la planeación del ordenamiento y desarrollo territorial de la Región Central"/>
    <x v="99"/>
    <x v="1"/>
    <s v="Gobernanza y buen gobierno"/>
    <x v="1"/>
    <x v="1"/>
    <x v="1"/>
    <s v="N/A"/>
    <m/>
    <m/>
    <x v="0"/>
    <s v="Se modifica en la versión 3 por solicitud de la Dirección Técnica"/>
    <m/>
    <n v="0"/>
    <m/>
    <m/>
    <x v="1"/>
    <m/>
    <x v="1"/>
  </r>
  <r>
    <x v="87"/>
    <x v="4"/>
    <s v="1 Documento de lineamientos para la articulación del Infraestructura de Datos Espaciales Regionales  (IDER) en los Departamentos de Boyacá, Meta y Tolima"/>
    <x v="100"/>
    <x v="64"/>
    <s v="Gobernanza y buen gobierno"/>
    <x v="0"/>
    <x v="0"/>
    <x v="0"/>
    <n v="6"/>
    <d v="2017-04-14T00:00:00"/>
    <d v="2017-05-05T00:00:00"/>
    <x v="0"/>
    <s v="CONTRATADO: CARLOS FAJARDO_x000a_6 MESES X 8 MILLONES_x000a_Se modifica en las versiones 3 y 4 por solicitud de la Dirección Técnica"/>
    <n v="31000000"/>
    <n v="0"/>
    <m/>
    <n v="14"/>
    <x v="3"/>
    <n v="2017"/>
    <x v="0"/>
  </r>
  <r>
    <x v="88"/>
    <x v="4"/>
    <s v="Gobernanza y buen gobierno"/>
    <x v="12"/>
    <x v="65"/>
    <s v="Gobernanza y buen gobierno"/>
    <x v="0"/>
    <x v="1"/>
    <x v="1"/>
    <n v="11"/>
    <m/>
    <m/>
    <x v="0"/>
    <s v="En ejecución_x000a_Se modifica en la versión 4 por solicitud de la Dirección Técnica"/>
    <n v="1500000"/>
    <n v="11000000"/>
    <m/>
    <m/>
    <x v="1"/>
    <m/>
    <x v="2"/>
  </r>
  <r>
    <x v="89"/>
    <x v="4"/>
    <s v="Articular la planeación del ordenamiento y desarrollo territorial de la Región Central"/>
    <x v="101"/>
    <x v="42"/>
    <s v="Gobernanza y buen gobierno"/>
    <x v="0"/>
    <x v="0"/>
    <x v="0"/>
    <n v="6"/>
    <d v="2017-06-15T00:00:00"/>
    <d v="2017-07-05T00:00:00"/>
    <x v="0"/>
    <s v="CONTRATADO: MIGUEL PINILLA VALDIVIESO  CTO 65-17_x000a_Se crea en la versión 4 por solicitud de la Dirección Técnica"/>
    <n v="38133333"/>
    <n v="866667"/>
    <m/>
    <n v="15"/>
    <x v="11"/>
    <n v="2017"/>
    <x v="0"/>
  </r>
  <r>
    <x v="90"/>
    <x v="4"/>
    <s v="1 Instancia de participación implementada con 3 tipos de actores vinculados"/>
    <x v="102"/>
    <x v="66"/>
    <s v="Gobernanza y buen gobierno"/>
    <x v="0"/>
    <x v="0"/>
    <x v="0"/>
    <n v="9"/>
    <d v="2017-03-10T00:00:00"/>
    <d v="2017-03-13T00:00:00"/>
    <x v="0"/>
    <s v="CONTRATADO: HECTOR RIVERA _x000a_Se crea en la versión 4 por solicitud de la Dirección Técnica"/>
    <n v="27000000"/>
    <n v="0"/>
    <m/>
    <n v="10"/>
    <x v="5"/>
    <n v="2017"/>
    <x v="0"/>
  </r>
  <r>
    <x v="91"/>
    <x v="4"/>
    <s v="Articular la planeación del ordenamiento y desarrollo territorial de la Región Central"/>
    <x v="103"/>
    <x v="66"/>
    <s v="Gobernanza y buen gobierno"/>
    <x v="0"/>
    <x v="0"/>
    <x v="0"/>
    <n v="6"/>
    <d v="2017-03-10T00:00:00"/>
    <d v="2017-04-04T00:00:00"/>
    <x v="0"/>
    <s v="CONTRATADO:  EDWIN GUEVARA VALENCIA_x000a_CONTRATO: 052-2017_x000a_Se crea en la versión 4 por solicitud de la Dirección Técnica"/>
    <n v="27000000"/>
    <n v="0"/>
    <m/>
    <n v="10"/>
    <x v="5"/>
    <n v="2017"/>
    <x v="0"/>
  </r>
  <r>
    <x v="92"/>
    <x v="4"/>
    <s v="1 Instancia de participación implementada con 3 tipos de actores vinculados"/>
    <x v="104"/>
    <x v="66"/>
    <s v="Gobernanza y buen gobierno"/>
    <x v="0"/>
    <x v="0"/>
    <x v="0"/>
    <n v="9"/>
    <d v="2017-03-10T00:00:00"/>
    <d v="2017-03-13T00:00:00"/>
    <x v="0"/>
    <s v="CONTRATADO: EDWIN  CASTRO_x000a_CONTRATO 058-17_x000a_ 6 MESES X 4,5 MILLONES_x000a_Se crea en la versión 4 por solicitud de la Dirección Técnica"/>
    <n v="27000000"/>
    <n v="0"/>
    <m/>
    <n v="10"/>
    <x v="5"/>
    <n v="2017"/>
    <x v="0"/>
  </r>
  <r>
    <x v="93"/>
    <x v="4"/>
    <s v="1 Instancia de participación implementada con 3 tipos de actores vinculados"/>
    <x v="105"/>
    <x v="24"/>
    <s v="Gobernanza y buen gobierno"/>
    <x v="0"/>
    <x v="0"/>
    <x v="0"/>
    <n v="6"/>
    <d v="2017-03-10T00:00:00"/>
    <d v="2017-03-13T00:00:00"/>
    <x v="0"/>
    <s v="Se crea en la versión 4 por solicitud de la Dirección Técnica_x000a_LUIS ALEJANDRO GUTIÉRREZ_x000a_6 MESES X 5¨5 MILLONES"/>
    <n v="33000000"/>
    <n v="0"/>
    <m/>
    <n v="10"/>
    <x v="5"/>
    <n v="2017"/>
    <x v="0"/>
  </r>
  <r>
    <x v="94"/>
    <x v="4"/>
    <s v="1 Instancia de participación implementada con 3 tipos de actores vinculados"/>
    <x v="106"/>
    <x v="4"/>
    <s v="Gobernanza y buen gobierno"/>
    <x v="0"/>
    <x v="0"/>
    <x v="0"/>
    <n v="9"/>
    <d v="2017-03-10T00:00:00"/>
    <d v="2017-03-13T00:00:00"/>
    <x v="0"/>
    <s v="CONTRATADO: CLAUDIA ALEJANDRA SÁNCHEZ BERMUDEZ_x000a_Se crea en la versión 4 por solicitud de la Dirección Técnica"/>
    <n v="30000000"/>
    <n v="0"/>
    <m/>
    <n v="10"/>
    <x v="5"/>
    <n v="2017"/>
    <x v="0"/>
  </r>
  <r>
    <x v="94"/>
    <x v="4"/>
    <s v="1 Instancia de participación implementada con 3 tipos de actores vinculados"/>
    <x v="107"/>
    <x v="67"/>
    <s v="Gobernanza y buen gobierno"/>
    <x v="0"/>
    <x v="0"/>
    <x v="0"/>
    <n v="3"/>
    <d v="2017-09-01T00:00:00"/>
    <d v="2017-09-16T00:00:00"/>
    <x v="0"/>
    <s v="CONTRATADO: CLAUDIA ALEJANDRA SÁNCHEZ BERMUDEZ_x000a_Se crea en la versión 8 por solicitud de la Dirección Técnica"/>
    <n v="15000000"/>
    <n v="0"/>
    <m/>
    <n v="1"/>
    <x v="10"/>
    <n v="2017"/>
    <x v="0"/>
  </r>
  <r>
    <x v="95"/>
    <x v="4"/>
    <s v="1 Instancia de participación implementada con 3 tipos de actores vinculados"/>
    <x v="108"/>
    <x v="4"/>
    <s v="Gobernanza y buen gobierno"/>
    <x v="0"/>
    <x v="0"/>
    <x v="0"/>
    <n v="6"/>
    <d v="2017-03-10T00:00:00"/>
    <d v="2017-04-03T00:00:00"/>
    <x v="0"/>
    <s v="CONTRATADO: RICHARD COLORADO CUESTAS_x000a_CONTRATO 051-2017_x000a_ Se crea en la versión 4 por solicitud de la Dirección Técnica"/>
    <n v="30000000"/>
    <n v="0"/>
    <m/>
    <n v="10"/>
    <x v="5"/>
    <n v="2017"/>
    <x v="0"/>
  </r>
  <r>
    <x v="96"/>
    <x v="4"/>
    <s v="1 Instancia de participación implementada con 3 tipos de actores vinculados"/>
    <x v="109"/>
    <x v="12"/>
    <s v="Gobernanza y buen gobierno"/>
    <x v="0"/>
    <x v="0"/>
    <x v="0"/>
    <n v="4"/>
    <d v="2017-08-25T00:00:00"/>
    <d v="2017-09-01T00:00:00"/>
    <x v="0"/>
    <s v="CONTRATADO: DIANA PATRICIA BARRERA SORACA_x000a_4.5 MILLONES X HASTA EL 30 DE DIC_x000a_Se crea en la versión 4 por solicitud de la Dirección Técnica_x000a_Se modifica en la versión 8  por solicitud de la Dirección Técnica"/>
    <n v="17400000"/>
    <n v="4600000"/>
    <m/>
    <n v="25"/>
    <x v="8"/>
    <n v="2017"/>
    <x v="0"/>
  </r>
  <r>
    <x v="97"/>
    <x v="4"/>
    <s v="1 Instancia de participación implementada con 3 tipos de actores vinculados"/>
    <x v="110"/>
    <x v="4"/>
    <s v="Gobernanza y buen gobierno"/>
    <x v="0"/>
    <x v="0"/>
    <x v="0"/>
    <n v="9"/>
    <d v="2017-03-10T00:00:00"/>
    <d v="2017-03-13T00:00:00"/>
    <x v="0"/>
    <s v="CONTRATADO JOSÉ ANTONIO PALMA BACCCA_x000a_6 MESES X 5 MILLONES_x000a_Se crea en la versión 4 por solicitud de la Dirección Técnica"/>
    <n v="30000000"/>
    <n v="0"/>
    <m/>
    <n v="10"/>
    <x v="5"/>
    <n v="2017"/>
    <x v="0"/>
  </r>
  <r>
    <x v="98"/>
    <x v="4"/>
    <s v="1 Instancia de participación implementada con 3 tipos de actores vinculados"/>
    <x v="111"/>
    <x v="4"/>
    <s v="Gobernanza y buen gobierno"/>
    <x v="0"/>
    <x v="0"/>
    <x v="0"/>
    <n v="9"/>
    <d v="2017-03-10T00:00:00"/>
    <d v="2017-03-13T00:00:00"/>
    <x v="0"/>
    <s v="CONTRATADO: JUAN GUILLERMO HERNÁNDEZ LOMBO_x000a_Se crea en la versión 4 por solicitud de la Dirección Técnica"/>
    <n v="30000000"/>
    <n v="0"/>
    <m/>
    <n v="10"/>
    <x v="5"/>
    <n v="2017"/>
    <x v="0"/>
  </r>
  <r>
    <x v="99"/>
    <x v="4"/>
    <s v="Articular la planeación del ordenamiento y desarrollo territorial de la Región Central"/>
    <x v="112"/>
    <x v="22"/>
    <s v="Gobernanza y buen gobierno"/>
    <x v="0"/>
    <x v="0"/>
    <x v="0"/>
    <n v="9"/>
    <d v="2017-03-10T00:00:00"/>
    <d v="2017-03-13T00:00:00"/>
    <x v="0"/>
    <s v="CONTRATADO: JUAN CARLOS ARBELÁEZ_x000a_6 MESES X 6 MILLONES_x000a_Se crea en la versión 4 por solicitud de la Dirección Técnica"/>
    <n v="36000000"/>
    <n v="0"/>
    <m/>
    <n v="10"/>
    <x v="5"/>
    <n v="2017"/>
    <x v="0"/>
  </r>
  <r>
    <x v="100"/>
    <x v="4"/>
    <s v="Articular la planeación del ordenamiento y desarrollo territorial de la Región Central"/>
    <x v="113"/>
    <x v="1"/>
    <s v="Gobernanza y buen gobierno"/>
    <x v="1"/>
    <x v="1"/>
    <x v="1"/>
    <s v="N/A"/>
    <m/>
    <m/>
    <x v="0"/>
    <s v="Se crea en la versión 4 por solicitud de la Dirección Técnica"/>
    <m/>
    <n v="0"/>
    <m/>
    <m/>
    <x v="1"/>
    <m/>
    <x v="1"/>
  </r>
  <r>
    <x v="101"/>
    <x v="4"/>
    <s v="Articular la planeación del ordenamiento y desarrollo territorial de la Región Central"/>
    <x v="114"/>
    <x v="1"/>
    <s v="Gobernanza y buen gobierno"/>
    <x v="1"/>
    <x v="1"/>
    <x v="1"/>
    <s v="N/A"/>
    <m/>
    <m/>
    <x v="0"/>
    <s v="Se crea en la versión 4 por solicitud de la Dirección Técnica"/>
    <m/>
    <n v="0"/>
    <m/>
    <m/>
    <x v="1"/>
    <m/>
    <x v="1"/>
  </r>
  <r>
    <x v="102"/>
    <x v="4"/>
    <s v="Articular la planeación del ordenamiento y desarrollo territorial de la Región Central"/>
    <x v="115"/>
    <x v="45"/>
    <s v="Gobernanza y buen gobierno"/>
    <x v="0"/>
    <x v="0"/>
    <x v="0"/>
    <n v="3"/>
    <d v="2017-03-10T00:00:00"/>
    <d v="2017-03-13T00:00:00"/>
    <x v="0"/>
    <s v="CONTRATADO DIANA MARCELA MARTINEZ GIRALDO_x000a_CONTRATO 049-2017_x000a_3 MESES X 8 MILLONES _x000a_Se crea en la versión 4 por solicitud de la Dirección Técnica"/>
    <n v="24000000"/>
    <n v="0"/>
    <m/>
    <n v="10"/>
    <x v="5"/>
    <n v="2017"/>
    <x v="0"/>
  </r>
  <r>
    <x v="103"/>
    <x v="4"/>
    <s v="1 Instancia de participación implementada con 3 tipos de actores vinculados"/>
    <x v="116"/>
    <x v="9"/>
    <s v="Gobernanza y buen gobierno"/>
    <x v="0"/>
    <x v="0"/>
    <x v="0"/>
    <n v="6"/>
    <d v="2017-03-10T00:00:00"/>
    <d v="2017-03-13T00:00:00"/>
    <x v="0"/>
    <s v="CONTRATADO: RICHARD HERRERA ROA_x000a_6 MESES X 7 MILLONES_x000a_Se crea en la versión 4 por solicitud de la Dirección Técnica"/>
    <n v="42000000"/>
    <n v="0"/>
    <m/>
    <n v="10"/>
    <x v="5"/>
    <n v="2017"/>
    <x v="0"/>
  </r>
  <r>
    <x v="104"/>
    <x v="4"/>
    <s v="1 Documento de lineamientos para la articulación del Infraestructura de Datos Espaciales Regionales  (IDER) en los Departamentos de Boyacá, Meta y Tolima"/>
    <x v="117"/>
    <x v="5"/>
    <s v="Gobernanza y buen gobierno"/>
    <x v="0"/>
    <x v="0"/>
    <x v="0"/>
    <n v="6"/>
    <d v="2017-07-12T00:00:00"/>
    <d v="2017-09-17T00:00:00"/>
    <x v="0"/>
    <s v="CONTRATADO: CARLOS ANDRES FAJARDO TAPIAS _x000a_CTO 074-17 8 MILLONES_x000a_Se crea en la versión 8 por solicitud de la Dirección Técnica"/>
    <n v="41333333"/>
    <n v="6666667"/>
    <m/>
    <n v="12"/>
    <x v="7"/>
    <n v="2017"/>
    <x v="0"/>
  </r>
  <r>
    <x v="105"/>
    <x v="4"/>
    <s v="1 Instancia de participación implementada con 3 tipos de actores vinculados"/>
    <x v="118"/>
    <x v="68"/>
    <s v="Gobernanza y buen gobierno"/>
    <x v="0"/>
    <x v="0"/>
    <x v="0"/>
    <n v="2"/>
    <d v="2017-09-13T00:00:00"/>
    <d v="2017-10-01T00:00:00"/>
    <x v="0"/>
    <s v="ADICIONADO:  RICHARD HERRERA ROA CTO 031-17_x000a_14 MILLONES X 2 MESES _x000a_Se crea en la versión 8 por solicitud de la Dirección Técnica"/>
    <n v="14000000"/>
    <n v="0"/>
    <m/>
    <n v="13"/>
    <x v="10"/>
    <n v="2017"/>
    <x v="0"/>
  </r>
  <r>
    <x v="106"/>
    <x v="4"/>
    <s v="1 Instancia de participación implementada con 3 tipos de actores vinculados"/>
    <x v="119"/>
    <x v="41"/>
    <s v="Gobernanza y buen gobierno"/>
    <x v="0"/>
    <x v="0"/>
    <x v="0"/>
    <n v="4"/>
    <d v="2017-09-10T00:00:00"/>
    <d v="2017-09-25T00:00:00"/>
    <x v="0"/>
    <s v="CONTRATADO: JUAN CARLOS ARBELÁEZ MURILLO CTO100-17 _x000a__x000a_Se crea en la versión 8 por solicitud de la Dirección Técnica"/>
    <n v="19933333"/>
    <n v="8066667"/>
    <m/>
    <n v="10"/>
    <x v="10"/>
    <n v="2017"/>
    <x v="0"/>
  </r>
  <r>
    <x v="107"/>
    <x v="4"/>
    <s v="1 Instancia de participación implementada con 3 tipos de actores vinculados"/>
    <x v="120"/>
    <x v="67"/>
    <s v="Gobernanza y buen gobierno"/>
    <x v="0"/>
    <x v="0"/>
    <x v="0"/>
    <n v="2"/>
    <d v="2017-10-19T00:00:00"/>
    <d v="2017-10-19T00:00:00"/>
    <x v="0"/>
    <s v="Adicionado:RICHARD COLORADO CUESTAS CTO 051-17"/>
    <n v="14500000"/>
    <n v="500000"/>
    <m/>
    <n v="19"/>
    <x v="9"/>
    <n v="2017"/>
    <x v="0"/>
  </r>
  <r>
    <x v="108"/>
    <x v="4"/>
    <s v="1 Instancia de participación implementada con 3 tipos de actores vinculados"/>
    <x v="121"/>
    <x v="67"/>
    <s v="Gobernanza y buen gobierno"/>
    <x v="0"/>
    <x v="0"/>
    <x v="0"/>
    <n v="3"/>
    <d v="2017-09-24T00:00:00"/>
    <d v="2017-10-01T00:00:00"/>
    <x v="0"/>
    <s v="Adicionado: José Antonio Palma Bacca cto 047-17_x000a_Se crea en la versión 8 por solicitud de la Dirección Técnica"/>
    <n v="15000000"/>
    <n v="0"/>
    <m/>
    <n v="24"/>
    <x v="10"/>
    <n v="2017"/>
    <x v="0"/>
  </r>
  <r>
    <x v="109"/>
    <x v="4"/>
    <s v="1 Instancia de participación implementada con 3 tipos de actores vinculados"/>
    <x v="122"/>
    <x v="17"/>
    <s v="Gobernanza y buen gobierno"/>
    <x v="0"/>
    <x v="0"/>
    <x v="0"/>
    <n v="2"/>
    <d v="2017-11-02T00:00:00"/>
    <d v="2017-11-15T00:00:00"/>
    <x v="0"/>
    <s v="Adicionado: Edwin Castro 058-17_x000a_Se crea en la versión 8 por solicitud de la Dirección Técnica"/>
    <n v="8850000"/>
    <n v="4650000"/>
    <m/>
    <n v="2"/>
    <x v="4"/>
    <n v="2017"/>
    <x v="0"/>
  </r>
  <r>
    <x v="110"/>
    <x v="5"/>
    <s v="100% de proyectos de inversión para la vigencia 2017 estructurados derivados del PER"/>
    <x v="123"/>
    <x v="69"/>
    <s v="Fortalecimiento Institucional "/>
    <x v="0"/>
    <x v="0"/>
    <x v="0"/>
    <n v="10"/>
    <d v="2017-02-27T00:00:00"/>
    <d v="2017-03-01T00:00:00"/>
    <x v="0"/>
    <s v="CONTRATADO: PAOLA CÁRDENAS 10 MESES X 9 MILLONES_x000a_Se modifica en las versiones 3 y 4 por solicitud de la Dirección Técnica"/>
    <n v="90000000"/>
    <n v="0"/>
    <m/>
    <n v="27"/>
    <x v="0"/>
    <n v="2017"/>
    <x v="0"/>
  </r>
  <r>
    <x v="111"/>
    <x v="5"/>
    <s v="100% de proyectos de inversión para la vigencia 2017 estructurados derivados del PER"/>
    <x v="124"/>
    <x v="70"/>
    <s v="Fortalecimiento Institucional "/>
    <x v="0"/>
    <x v="0"/>
    <x v="0"/>
    <n v="6"/>
    <d v="2017-02-15T00:00:00"/>
    <d v="2017-03-01T00:00:00"/>
    <x v="2"/>
    <s v="CONTRATADO: ANA MARÍA LEÓN VALENCIA 060-17_x000a_$ 8 MILLONES x 5 MESES"/>
    <n v="40000000"/>
    <n v="0"/>
    <m/>
    <n v="15"/>
    <x v="0"/>
    <n v="2017"/>
    <x v="0"/>
  </r>
  <r>
    <x v="111"/>
    <x v="5"/>
    <s v="100% de proyectos de inversión para la vigencia 2017 estructurados derivados del PER"/>
    <x v="125"/>
    <x v="71"/>
    <s v="Fortalecimiento institucional"/>
    <x v="0"/>
    <x v="0"/>
    <x v="0"/>
    <n v="2.5"/>
    <d v="2017-10-11T00:00:00"/>
    <d v="2017-10-13T00:00:00"/>
    <x v="2"/>
    <s v="CONTRATADO: PATRICIA ABRIL OSPITIA CTO 107-2017"/>
    <n v="13420000"/>
    <n v="1830000"/>
    <s v="                                                                                                                                                                                                                                                                                                                                                                                                     "/>
    <n v="7"/>
    <x v="9"/>
    <n v="2017"/>
    <x v="0"/>
  </r>
  <r>
    <x v="112"/>
    <x v="5"/>
    <s v="100% de proyectos de inversión para la vigencia 2017 estructurados derivados del PER"/>
    <x v="126"/>
    <x v="1"/>
    <s v="Fortalecimiento Institucional "/>
    <x v="1"/>
    <x v="1"/>
    <x v="1"/>
    <s v="N/A"/>
    <m/>
    <m/>
    <x v="2"/>
    <s v="Se elimina en la versión 8 por solicitud de la Oficina de Planeación"/>
    <m/>
    <n v="0"/>
    <m/>
    <m/>
    <x v="1"/>
    <m/>
    <x v="1"/>
  </r>
  <r>
    <x v="113"/>
    <x v="5"/>
    <s v="100% de proyectos de inversión para la vigencia 2017 estructurados derivados del PER"/>
    <x v="127"/>
    <x v="5"/>
    <s v="Fortalecimiento Institucional "/>
    <x v="0"/>
    <x v="0"/>
    <x v="0"/>
    <n v="8"/>
    <d v="2017-02-15T00:00:00"/>
    <d v="2017-03-01T00:00:00"/>
    <x v="2"/>
    <s v="CONTRATADO: NANCY CAROLINA HERNÁNDEZ_x000a_8 MESES X 6 MILLONES_x000a_Se modifica en la versión 4 por solicitud de la Dirección Técnica"/>
    <n v="48000000"/>
    <n v="0"/>
    <m/>
    <n v="15"/>
    <x v="0"/>
    <n v="2017"/>
    <x v="0"/>
  </r>
  <r>
    <x v="113"/>
    <x v="5"/>
    <s v="100% de proyectos de inversión para la vigencia 2017 estructurados derivados del PER"/>
    <x v="128"/>
    <x v="23"/>
    <s v="Fortalecimiento institucional"/>
    <x v="0"/>
    <x v="0"/>
    <x v="0"/>
    <n v="6"/>
    <d v="2017-09-17T00:00:00"/>
    <d v="2017-10-18T00:00:00"/>
    <x v="2"/>
    <s v="ADICIÓN: NANCY CAROLINA HERNÁNDEZ CTO 024-17_x000a_Se crea en la versión 8 a solucitud de la Oficina de Planeación"/>
    <n v="14800000"/>
    <n v="3200000"/>
    <m/>
    <n v="17"/>
    <x v="10"/>
    <n v="2017"/>
    <x v="0"/>
  </r>
  <r>
    <x v="114"/>
    <x v="5"/>
    <s v="100% de proyectos de inversión para la vigencia 2017 estructurados derivados del PER"/>
    <x v="129"/>
    <x v="42"/>
    <s v="Fortalecimiento Institucional "/>
    <x v="0"/>
    <x v="0"/>
    <x v="0"/>
    <n v="8"/>
    <d v="2017-03-10T00:00:00"/>
    <d v="2017-03-13T00:00:00"/>
    <x v="0"/>
    <s v="CONTRATADO: SOLANLLY CASTELLANOS_x000a_6 MESES X 6`5 MILLONES_x000a_Se modifica en las versiones 2 y 4 por solicitud de la Dirección Técnica"/>
    <n v="39000000"/>
    <n v="0"/>
    <m/>
    <n v="10"/>
    <x v="5"/>
    <n v="2017"/>
    <x v="0"/>
  </r>
  <r>
    <x v="115"/>
    <x v="5"/>
    <s v="100% de proyectos de inversión para la vigencia 2017 estructurados derivados del PER"/>
    <x v="130"/>
    <x v="1"/>
    <s v="Fortalecimiento Institucional "/>
    <x v="1"/>
    <x v="1"/>
    <x v="1"/>
    <s v="N/A"/>
    <m/>
    <m/>
    <x v="2"/>
    <s v="Se elimina en la versión 4 por solicitud de la Dirección Técnica"/>
    <m/>
    <n v="0"/>
    <m/>
    <m/>
    <x v="1"/>
    <m/>
    <x v="1"/>
  </r>
  <r>
    <x v="116"/>
    <x v="5"/>
    <s v="100% de proyectos de inversión para la vigencia 2017 estructurados derivados del PER"/>
    <x v="131"/>
    <x v="9"/>
    <s v="Fortalecimiento Institucional "/>
    <x v="0"/>
    <x v="0"/>
    <x v="0"/>
    <n v="6"/>
    <d v="2017-04-15T00:00:00"/>
    <d v="2017-05-01T00:00:00"/>
    <x v="2"/>
    <s v="CONTRATADO: PAOLA STERLING LONDOÑO_x000a_6 MESES X 7 MILLONES_x000a_Se modifica en las versiones 2 y 4 por solicitud de la Oficina de Planeación y la Dirección Técnica, respectivamente"/>
    <n v="42000000"/>
    <n v="0"/>
    <m/>
    <n v="15"/>
    <x v="3"/>
    <n v="2017"/>
    <x v="0"/>
  </r>
  <r>
    <x v="116"/>
    <x v="5"/>
    <s v="100% de proyectos de inversión para la vigencia 2017 estructurados derivados del PER"/>
    <x v="132"/>
    <x v="72"/>
    <s v="Fortalecimiento Institucional "/>
    <x v="0"/>
    <x v="0"/>
    <x v="0"/>
    <n v="3"/>
    <d v="2017-08-30T00:00:00"/>
    <d v="2017-08-31T00:00:00"/>
    <x v="2"/>
    <s v="ADICIONADO: PAOLA STERLING LONDOÑO CTO 012-17_x000a_21 MILLONES X 3 MESES"/>
    <n v="21000000"/>
    <n v="0"/>
    <m/>
    <n v="30"/>
    <x v="8"/>
    <n v="2017"/>
    <x v="0"/>
  </r>
  <r>
    <x v="117"/>
    <x v="5"/>
    <s v="100% de proyectos de inversión para la vigencia 2017 estructurados derivados del PER"/>
    <x v="133"/>
    <x v="22"/>
    <s v="Fortalecimiento Institucional "/>
    <x v="0"/>
    <x v="0"/>
    <x v="0"/>
    <n v="6"/>
    <d v="2017-04-15T00:00:00"/>
    <d v="2017-05-01T00:00:00"/>
    <x v="2"/>
    <s v="CONTRATADO: ANDRÉS GÓMEZ_x000a_6 MESES X 6 MILLONES_x000a_Se modifica en la versión 3 por solicitud de la Dirección Técnica"/>
    <n v="36000000"/>
    <n v="0"/>
    <m/>
    <n v="15"/>
    <x v="3"/>
    <n v="2017"/>
    <x v="0"/>
  </r>
  <r>
    <x v="118"/>
    <x v="5"/>
    <s v="100% de proyectos de inversión para la vigencia 2017 estructurados derivados del PER"/>
    <x v="134"/>
    <x v="73"/>
    <s v="Fortalecimiento Institucional "/>
    <x v="0"/>
    <x v="0"/>
    <x v="0"/>
    <n v="8"/>
    <d v="2017-02-15T00:00:00"/>
    <d v="2017-03-01T00:00:00"/>
    <x v="2"/>
    <s v="CONTRATADO: JUAN CAMILO BALSERO _x000a_8 MESES X 4,4 MILLONES_x000a_Se modifica en la versión 2 por solicitud de la Oficina de Planeación"/>
    <n v="35200000"/>
    <n v="0"/>
    <m/>
    <n v="15"/>
    <x v="0"/>
    <n v="2017"/>
    <x v="0"/>
  </r>
  <r>
    <x v="118"/>
    <x v="5"/>
    <s v="100% de proyectos de inversión para la vigencia 2017 estructurados derivados del PER"/>
    <x v="135"/>
    <x v="74"/>
    <s v="Fortalecimiento institucional"/>
    <x v="0"/>
    <x v="0"/>
    <x v="0"/>
    <n v="2"/>
    <d v="2017-09-08T00:00:00"/>
    <d v="2017-10-11T00:00:00"/>
    <x v="2"/>
    <s v="ADICIONADO: JUAN CAMILO BALSERO CTO 020-17_x000a_Se crea en la versión 8 a solucitud de la Oficina de Planeación"/>
    <n v="8800000"/>
    <n v="0"/>
    <m/>
    <n v="8"/>
    <x v="10"/>
    <n v="2017"/>
    <x v="0"/>
  </r>
  <r>
    <x v="119"/>
    <x v="5"/>
    <s v="3 Acciones orientadas a la certificación del Sistema Integrado de Gestión de Calidad "/>
    <x v="136"/>
    <x v="75"/>
    <s v="Fortalecimiento institucional"/>
    <x v="0"/>
    <x v="4"/>
    <x v="3"/>
    <n v="4"/>
    <d v="2017-08-22T00:00:00"/>
    <d v="2017-09-22T00:00:00"/>
    <x v="2"/>
    <s v="CONTRATADO: SGS COLOMBIA S.A.S. CTO 102-17_x000a_Se modifica en la versión 4 por solicitud de la Dirección Técnica_x000a_Se modifica en la versión 8 a solucitud de la Oficina de Planeación"/>
    <n v="8549555"/>
    <n v="0"/>
    <s v="Angela Moreno"/>
    <n v="22"/>
    <x v="8"/>
    <n v="2017"/>
    <x v="0"/>
  </r>
  <r>
    <x v="120"/>
    <x v="5"/>
    <s v="100% de proyectos de inversión para la vigencia 2017 estructurados derivados del PER"/>
    <x v="137"/>
    <x v="56"/>
    <s v="Fortalecimiento institucional"/>
    <x v="0"/>
    <x v="0"/>
    <x v="0"/>
    <n v="2.5"/>
    <d v="2017-04-02T00:00:00"/>
    <d v="2017-04-15T00:00:00"/>
    <x v="2"/>
    <s v="CONTRATADO: DANIEL OBDULIO FRANCO CASTAÑEDA CTO 108-2017"/>
    <n v="15733333"/>
    <n v="4266667"/>
    <m/>
    <n v="2"/>
    <x v="3"/>
    <n v="2017"/>
    <x v="0"/>
  </r>
  <r>
    <x v="121"/>
    <x v="5"/>
    <s v="3 Acciones orientadas a la certificación del Sistema Integrado de Gestión de Calidad "/>
    <x v="138"/>
    <x v="73"/>
    <s v="Fortalecimiento institucional"/>
    <x v="0"/>
    <x v="0"/>
    <x v="0"/>
    <n v="8"/>
    <d v="2017-02-01T00:00:00"/>
    <d v="2017-02-13T00:00:00"/>
    <x v="2"/>
    <s v="CONTRATADO: CARLOS FERNANDO LEÓN 8 MESES X 4`4 MILLONES_x000a_Se modifica en la versión 4 por solicitud de la Dirección Técnica"/>
    <n v="35200000"/>
    <n v="0"/>
    <m/>
    <n v="1"/>
    <x v="0"/>
    <n v="2017"/>
    <x v="0"/>
  </r>
  <r>
    <x v="121"/>
    <x v="5"/>
    <s v="3 Acciones orientadas a la certificación del Sistema Integrado de Gestión de Calidad "/>
    <x v="139"/>
    <x v="74"/>
    <s v="Fortalecimiento institucional"/>
    <x v="0"/>
    <x v="0"/>
    <x v="0"/>
    <n v="2"/>
    <d v="2017-10-20T00:00:00"/>
    <d v="2017-10-20T00:00:00"/>
    <x v="2"/>
    <s v="ADICIONADO: CTO 025-17 CARLOS FERNANDO LEÓN"/>
    <n v="8800000"/>
    <n v="0"/>
    <m/>
    <n v="20"/>
    <x v="9"/>
    <n v="2017"/>
    <x v="0"/>
  </r>
  <r>
    <x v="122"/>
    <x v="5"/>
    <s v="Implementar una estrategia que permita la prestación del servicio al ciudadano de acuerdo con los lineamientos de gobierno en línea"/>
    <x v="140"/>
    <x v="76"/>
    <s v="Fortalecimiento institucional"/>
    <x v="0"/>
    <x v="0"/>
    <x v="0"/>
    <n v="10"/>
    <d v="2017-02-01T00:00:00"/>
    <d v="2017-02-07T00:00:00"/>
    <x v="3"/>
    <s v="CONTRATADO: JULIETH ALEJANDRA MUÑOZ_x000a_6 MESES X 2 MILLONES"/>
    <n v="12000000"/>
    <n v="0"/>
    <m/>
    <n v="1"/>
    <x v="0"/>
    <n v="2017"/>
    <x v="0"/>
  </r>
  <r>
    <x v="122"/>
    <x v="5"/>
    <s v="Implementar una estrategia que permita la prestación del servicio al ciudadano de acuerdo con los lineamientos de gobierno en línea"/>
    <x v="141"/>
    <x v="77"/>
    <s v="Fortalecimiento institucional"/>
    <x v="0"/>
    <x v="0"/>
    <x v="0"/>
    <n v="4"/>
    <d v="2017-08-07T00:00:00"/>
    <d v="2017-08-07T00:00:00"/>
    <x v="3"/>
    <s v="CONTRATADO: ANLLELO EDUARDO GAVIRIA PINEDA CTO 088-17_x000a_1.7 MILLONES X 4 MESES"/>
    <n v="6800000"/>
    <n v="463333"/>
    <m/>
    <n v="7"/>
    <x v="8"/>
    <n v="2017"/>
    <x v="0"/>
  </r>
  <r>
    <x v="122"/>
    <x v="5"/>
    <s v="Implementar una estrategia que permita la prestación del servicio al ciudadano de acuerdo con los lineamientos de gobierno en línea"/>
    <x v="142"/>
    <x v="78"/>
    <s v="Fortalecimiento institucional"/>
    <x v="0"/>
    <x v="0"/>
    <x v="0"/>
    <s v="14 días"/>
    <d v="2017-12-17T00:00:00"/>
    <d v="2017-12-17T00:00:00"/>
    <x v="3"/>
    <m/>
    <m/>
    <n v="736667"/>
    <m/>
    <n v="17"/>
    <x v="6"/>
    <n v="2017"/>
    <x v="3"/>
  </r>
  <r>
    <x v="123"/>
    <x v="5"/>
    <s v="100% de apoyo logístico a los procesos misionales y de apoyo de la entidad"/>
    <x v="143"/>
    <x v="16"/>
    <s v="Fortalecimiento institucional"/>
    <x v="0"/>
    <x v="7"/>
    <x v="3"/>
    <n v="4.5"/>
    <d v="2017-07-15T00:00:00"/>
    <d v="2017-08-15T00:00:00"/>
    <x v="3"/>
    <s v="INVERSIONES PUIN S.A.S CTO 094-17_x000a_3 MESES 20 DÍAS_x000a_Se crea en la versión 8 a solucitud de la Dirección Corporativa"/>
    <n v="50000000"/>
    <n v="0"/>
    <s v="Claudia Paez"/>
    <n v="15"/>
    <x v="7"/>
    <n v="2017"/>
    <x v="0"/>
  </r>
  <r>
    <x v="124"/>
    <x v="5"/>
    <s v="Una solución tecnológica y administrativa implementada que soporte los procesos de la entidad"/>
    <x v="144"/>
    <x v="79"/>
    <s v="Fortalecimiento institucional"/>
    <x v="0"/>
    <x v="7"/>
    <x v="3"/>
    <n v="4.5"/>
    <d v="2017-08-08T00:00:00"/>
    <d v="2017-08-22T00:00:00"/>
    <x v="3"/>
    <s v="CONTRATADO: REALTIME CONSULTING &amp; SERVICES S.A.S CTO 103-17_x000a_Se ajusta en Versión 8 Convenio CAR "/>
    <n v="45569682"/>
    <n v="0"/>
    <s v="Angela Moreno"/>
    <n v="8"/>
    <x v="8"/>
    <n v="2017"/>
    <x v="0"/>
  </r>
  <r>
    <x v="125"/>
    <x v="5"/>
    <s v="Una solución tecnológica y administrativa implementada que soporte los procesos de la entidad"/>
    <x v="145"/>
    <x v="80"/>
    <s v="Fortalecimiento institucional"/>
    <x v="0"/>
    <x v="7"/>
    <x v="3"/>
    <n v="7"/>
    <d v="2017-04-17T00:00:00"/>
    <d v="2017-05-12T00:00:00"/>
    <x v="3"/>
    <s v="CONTRATADO: NEX COMPUTER S.A. 061-17_x000a_7 MESES_x000a__x000a_Se modifica valor en la versión 2 por solicitud de la Dirección Corporativa"/>
    <n v="73719800"/>
    <n v="0"/>
    <m/>
    <n v="17"/>
    <x v="3"/>
    <n v="2017"/>
    <x v="0"/>
  </r>
  <r>
    <x v="125"/>
    <x v="5"/>
    <s v="Una solución tecnológica y administrativa implementada que soporte los procesos de la entidad"/>
    <x v="146"/>
    <x v="56"/>
    <s v="Fortalecimiento institucional"/>
    <x v="0"/>
    <x v="3"/>
    <x v="3"/>
    <n v="2"/>
    <d v="2017-10-20T00:00:00"/>
    <d v="2017-12-12T00:00:00"/>
    <x v="3"/>
    <s v="CONTRATADO: NEX COMPUTER S.A. 061-17_x000a_Se crea en la versión 8 a solucitud de la Dirección Corporativa"/>
    <n v="20000000"/>
    <n v="0"/>
    <s v="Angela Moreno"/>
    <n v="20"/>
    <x v="9"/>
    <n v="2017"/>
    <x v="0"/>
  </r>
  <r>
    <x v="126"/>
    <x v="5"/>
    <s v="Una solución tecnológica y administrativa implementada que soporte los procesos de la entidad"/>
    <x v="147"/>
    <x v="81"/>
    <s v="Fortalecimiento institucional"/>
    <x v="0"/>
    <x v="8"/>
    <x v="3"/>
    <n v="12"/>
    <d v="2017-05-10T00:00:00"/>
    <d v="2017-05-24T00:00:00"/>
    <x v="3"/>
    <s v="CONTRATADO: Soporte técnico y renovación - Licencia ArcGIS _x000a_"/>
    <n v="8255226"/>
    <n v="0"/>
    <m/>
    <n v="10"/>
    <x v="12"/>
    <n v="2017"/>
    <x v="0"/>
  </r>
  <r>
    <x v="126"/>
    <x v="5"/>
    <s v="Una solución tecnológica y administrativa implementada que soporte los procesos de la entidad"/>
    <x v="148"/>
    <x v="82"/>
    <s v="Fortalecimiento institucional"/>
    <x v="0"/>
    <x v="8"/>
    <x v="3"/>
    <n v="12"/>
    <d v="2017-05-10T00:00:00"/>
    <d v="2017-05-26T00:00:00"/>
    <x v="3"/>
    <s v="CONTRATADO: Soporte técnico y renovación - Licencia ArcGIS _x000a_"/>
    <n v="14126577"/>
    <n v="0"/>
    <m/>
    <n v="10"/>
    <x v="12"/>
    <n v="2017"/>
    <x v="0"/>
  </r>
  <r>
    <x v="127"/>
    <x v="5"/>
    <s v="Una solución tecnológica y administrativa implementada que soporte los procesos de la entidad"/>
    <x v="149"/>
    <x v="76"/>
    <s v="Fortalecimiento institucional"/>
    <x v="0"/>
    <x v="7"/>
    <x v="3"/>
    <n v="12"/>
    <d v="2017-10-27T00:00:00"/>
    <d v="2017-11-30T00:00:00"/>
    <x v="3"/>
    <s v="Modificado en la versión 8 antes 17 millones ahora 50 millones"/>
    <m/>
    <n v="12000000"/>
    <s v="Claudia Paez"/>
    <n v="22"/>
    <x v="8"/>
    <n v="2017"/>
    <x v="4"/>
  </r>
  <r>
    <x v="128"/>
    <x v="5"/>
    <s v="Una solución tecnológica y administrativa implementada que soporte los procesos de la entidad"/>
    <x v="150"/>
    <x v="83"/>
    <s v="Fortalecimiento institucional"/>
    <x v="0"/>
    <x v="7"/>
    <x v="6"/>
    <n v="3"/>
    <d v="2017-08-22T00:00:00"/>
    <d v="2017-09-30T00:00:00"/>
    <x v="3"/>
    <m/>
    <n v="72752238"/>
    <n v="0"/>
    <s v="Claudia Paez"/>
    <n v="22"/>
    <x v="8"/>
    <n v="2017"/>
    <x v="4"/>
  </r>
  <r>
    <x v="129"/>
    <x v="5"/>
    <s v="1 Estrategia ejecutada de comunicación que combien acciones de ATL - BTL y Freepress"/>
    <x v="151"/>
    <x v="45"/>
    <s v="Fortalecimiento institucional"/>
    <x v="0"/>
    <x v="0"/>
    <x v="0"/>
    <n v="6"/>
    <d v="2017-01-16T00:00:00"/>
    <d v="2017-02-01T00:00:00"/>
    <x v="1"/>
    <s v="CONTRATADO: MARÍA TERESA BLANCO_x000a_6 MESES X 4 MILLONES_x000a_Se crea en la versión 3 por solicitud de la Dirección Técnica"/>
    <n v="24000000"/>
    <n v="0"/>
    <m/>
    <n v="16"/>
    <x v="2"/>
    <n v="2017"/>
    <x v="0"/>
  </r>
  <r>
    <x v="129"/>
    <x v="5"/>
    <s v="1 Estrategia ejecutada de comunicación que combien acciones de ATL - BTL y Freepress"/>
    <x v="152"/>
    <x v="84"/>
    <s v="Fortalecimiento institucional"/>
    <x v="0"/>
    <x v="0"/>
    <x v="0"/>
    <n v="4"/>
    <d v="2017-07-15T00:00:00"/>
    <d v="2017-08-01T00:00:00"/>
    <x v="1"/>
    <s v="CONTRATADO: MARÍA TERESA BLANCO CTO 081-17_x000a_4 MESES X 4 MILLONES_x000a_Se crea en la versión 3 por solicitud de la Dirección Técnica"/>
    <n v="16000000"/>
    <n v="0"/>
    <m/>
    <n v="15"/>
    <x v="7"/>
    <n v="2017"/>
    <x v="0"/>
  </r>
  <r>
    <x v="130"/>
    <x v="5"/>
    <s v="1 Estrategia ejecutada de comunicación que combien acciones de ATL - BTL y Freepress"/>
    <x v="153"/>
    <x v="85"/>
    <s v="Fortalecimiento institucional"/>
    <x v="0"/>
    <x v="0"/>
    <x v="0"/>
    <n v="11"/>
    <d v="2017-02-01T00:00:00"/>
    <d v="2017-02-13T00:00:00"/>
    <x v="1"/>
    <s v="CONTRATADO: STEVEN RIOS_x000a_7 MESES X 6´5 MILLONES_x000a_Se crea en la versión 3 por solicitud de la Dirección Técnica"/>
    <n v="45500000"/>
    <n v="0"/>
    <m/>
    <n v="1"/>
    <x v="0"/>
    <n v="2017"/>
    <x v="0"/>
  </r>
  <r>
    <x v="130"/>
    <x v="5"/>
    <s v="1 Estrategia ejecutada de comunicación que combien acciones de ATL - BTL y Freepress"/>
    <x v="154"/>
    <x v="86"/>
    <s v="Fortalecimiento institucional"/>
    <x v="0"/>
    <x v="0"/>
    <x v="0"/>
    <n v="3.5"/>
    <d v="2017-09-04T00:00:00"/>
    <d v="2017-09-06T00:00:00"/>
    <x v="1"/>
    <s v="ADICIONADO: Donalson Steven "/>
    <n v="22750000"/>
    <n v="0"/>
    <m/>
    <n v="4"/>
    <x v="10"/>
    <n v="2017"/>
    <x v="0"/>
  </r>
  <r>
    <x v="131"/>
    <x v="5"/>
    <s v="1 Estrategia ejecutada de comunicación que combien acciones de ATL - BTL y Freepress"/>
    <x v="155"/>
    <x v="23"/>
    <s v="Fortalecimiento institucional"/>
    <x v="0"/>
    <x v="0"/>
    <x v="0"/>
    <n v="6"/>
    <d v="2017-02-01T00:00:00"/>
    <d v="2017-02-13T00:00:00"/>
    <x v="1"/>
    <s v="CONTRATADO: OSCAR COLMENARES_x000a_6 MESES X 4´5 MILLONES"/>
    <n v="18000000"/>
    <n v="0"/>
    <m/>
    <n v="1"/>
    <x v="0"/>
    <n v="2017"/>
    <x v="0"/>
  </r>
  <r>
    <x v="132"/>
    <x v="5"/>
    <s v="Fortalecimiento institucional"/>
    <x v="12"/>
    <x v="87"/>
    <s v="Fortalecimiento institucional"/>
    <x v="0"/>
    <x v="1"/>
    <x v="1"/>
    <n v="11"/>
    <m/>
    <m/>
    <x v="2"/>
    <s v="En ejecución_x000a_Ejecutado al 7/06/2017"/>
    <n v="1716875"/>
    <n v="8181522"/>
    <m/>
    <m/>
    <x v="1"/>
    <m/>
    <x v="2"/>
  </r>
  <r>
    <x v="133"/>
    <x v="5"/>
    <s v="Una solución tecnológica y administrativa implementada que soporte los procesos de la entidad"/>
    <x v="156"/>
    <x v="88"/>
    <s v="Fortalecimiento institucional"/>
    <x v="0"/>
    <x v="3"/>
    <x v="3"/>
    <n v="3"/>
    <d v="2017-02-17T00:00:00"/>
    <d v="2017-02-17T00:00:00"/>
    <x v="3"/>
    <s v="CONTRATADO :UNIPAR ALQUILERES DE COMPUTADORES_x000a_Se crea en la versión 2 por solicitud de la Dirección Corporativa"/>
    <n v="21280200"/>
    <n v="0"/>
    <m/>
    <n v="17"/>
    <x v="0"/>
    <n v="2017"/>
    <x v="0"/>
  </r>
  <r>
    <x v="134"/>
    <x v="5"/>
    <s v="1 Estrategia ejecutada de comunicación que combien acciones de ATL - BTL y Freepress"/>
    <x v="157"/>
    <x v="89"/>
    <s v="Fortalecimiento institucional"/>
    <x v="0"/>
    <x v="0"/>
    <x v="0"/>
    <n v="5"/>
    <d v="2017-02-15T00:00:00"/>
    <d v="2017-02-20T00:00:00"/>
    <x v="1"/>
    <s v="CONTRATADO: FABIÁN MOTTA_x000a_5 MESES X 8`2 MILLONES_x000a_Se crea en la versión 3 por solicitud de la Asesora de Comunicaciones_x000a_Se modifica en la versión 4 por solicitud de la Dirección Técnica"/>
    <n v="41000000"/>
    <n v="0"/>
    <m/>
    <n v="15"/>
    <x v="0"/>
    <n v="2017"/>
    <x v="0"/>
  </r>
  <r>
    <x v="134"/>
    <x v="5"/>
    <s v="3 acciones de cambio de imagen instituciona "/>
    <x v="157"/>
    <x v="90"/>
    <s v="Fortalecimiento institucional"/>
    <x v="0"/>
    <x v="0"/>
    <x v="0"/>
    <n v="4"/>
    <d v="2017-08-04T00:00:00"/>
    <d v="2017-08-10T00:00:00"/>
    <x v="1"/>
    <s v="CONTRATADO: FABIAN MOTTA CTO 082-17_x000a_4MESES X 8.2 MILLONES_x000a_"/>
    <n v="32800000"/>
    <n v="0"/>
    <m/>
    <n v="4"/>
    <x v="8"/>
    <n v="2017"/>
    <x v="0"/>
  </r>
  <r>
    <x v="135"/>
    <x v="5"/>
    <s v="Fortalecer la capacidad de estructuración y ejecución de proyectos de  la Rape Region Central "/>
    <x v="158"/>
    <x v="1"/>
    <s v="Fortalecimiento institucional"/>
    <x v="0"/>
    <x v="0"/>
    <x v="0"/>
    <n v="6"/>
    <m/>
    <m/>
    <x v="0"/>
    <s v="Se crea en la versión 4 por solicitud de la Dirección Técnica_x000a_Se elimina en la versión 8 a solucitud de la Oficina de Planeación"/>
    <m/>
    <n v="0"/>
    <m/>
    <m/>
    <x v="1"/>
    <m/>
    <x v="1"/>
  </r>
  <r>
    <x v="136"/>
    <x v="5"/>
    <s v="Posicionar a la Región Central como modelo de desarrollo regional en Colombia"/>
    <x v="159"/>
    <x v="1"/>
    <s v="Fortalecimiento institucional"/>
    <x v="0"/>
    <x v="7"/>
    <x v="3"/>
    <n v="6"/>
    <m/>
    <m/>
    <x v="0"/>
    <s v="Se crea en la versión 4 por solicitud de la Dirección Técnica_x000a_Se elimina en la versión 8 a solucitud de la Oficina de Planeación"/>
    <m/>
    <n v="0"/>
    <m/>
    <m/>
    <x v="1"/>
    <m/>
    <x v="1"/>
  </r>
  <r>
    <x v="137"/>
    <x v="5"/>
    <s v="1 Estrategia ejecutada de comunicación que combien acciones de ATL - BTL y Freepress"/>
    <x v="160"/>
    <x v="45"/>
    <s v="Fortalecimiento institucional"/>
    <x v="0"/>
    <x v="0"/>
    <x v="0"/>
    <n v="6"/>
    <d v="2017-05-25T00:00:00"/>
    <d v="2017-06-01T00:00:00"/>
    <x v="1"/>
    <s v="CONTRATADO: CAROL VANESSA GARZÓN CUBILLOS _x000a_CTO 63-17 6 MESES X 4 MILLONES_x000a_Se crea en la versión 7 por solicitud de la Dirección Técnica"/>
    <n v="24000000"/>
    <n v="0"/>
    <m/>
    <n v="25"/>
    <x v="12"/>
    <n v="2017"/>
    <x v="0"/>
  </r>
  <r>
    <x v="137"/>
    <x v="5"/>
    <s v="1 Estrategia ejecutada de comunicación que combien acciones de ATL - BTL y Freepress"/>
    <x v="161"/>
    <x v="91"/>
    <s v="Fortalecimiento institucional"/>
    <x v="0"/>
    <x v="0"/>
    <x v="0"/>
    <n v="1"/>
    <d v="2017-11-27T00:00:00"/>
    <d v="2017-12-01T00:00:00"/>
    <x v="1"/>
    <m/>
    <m/>
    <n v="4000000"/>
    <m/>
    <n v="27"/>
    <x v="6"/>
    <n v="2017"/>
    <x v="3"/>
  </r>
  <r>
    <x v="138"/>
    <x v="5"/>
    <s v="100% de proyectos de inversión para la vigencia 2017 estructurados derivados del PER"/>
    <x v="162"/>
    <x v="1"/>
    <s v="Fortalecimiento institucional"/>
    <x v="0"/>
    <x v="0"/>
    <x v="0"/>
    <n v="4"/>
    <d v="2017-08-15T00:00:00"/>
    <d v="2017-09-01T00:00:00"/>
    <x v="2"/>
    <m/>
    <m/>
    <n v="0"/>
    <m/>
    <n v="15"/>
    <x v="8"/>
    <n v="2017"/>
    <x v="1"/>
  </r>
  <r>
    <x v="139"/>
    <x v="5"/>
    <s v="100% de proyectos de inversión para la vigencia 2017 estructurados derivados del PER"/>
    <x v="163"/>
    <x v="92"/>
    <s v="Fortalecimiento institucional"/>
    <x v="0"/>
    <x v="0"/>
    <x v="0"/>
    <n v="5"/>
    <d v="2017-07-15T00:00:00"/>
    <d v="2017-08-01T00:00:00"/>
    <x v="2"/>
    <s v="CONTRATADO: LIBARDO CHICUAZUQUE  CTO 069-17_x000a_5 MESES X 6´5 MILLONES"/>
    <n v="32500000"/>
    <n v="0"/>
    <m/>
    <n v="15"/>
    <x v="7"/>
    <n v="2017"/>
    <x v="0"/>
  </r>
  <r>
    <x v="140"/>
    <x v="5"/>
    <s v="100% de proyectos de inversión para la vigencia 2017 estructurados derivados del PER"/>
    <x v="164"/>
    <x v="4"/>
    <s v="Fortalecimiento institucional"/>
    <x v="0"/>
    <x v="0"/>
    <x v="0"/>
    <n v="5"/>
    <d v="2017-07-15T00:00:00"/>
    <d v="2017-08-01T00:00:00"/>
    <x v="2"/>
    <s v="CONTRATADO: CAMILO ANDRES PINEDA LÓPEZ CTO 67-17_x000a_5 MESES X 6 MILLONES"/>
    <n v="30000000"/>
    <n v="0"/>
    <m/>
    <n v="15"/>
    <x v="7"/>
    <n v="2017"/>
    <x v="0"/>
  </r>
  <r>
    <x v="140"/>
    <x v="3"/>
    <s v="100% de proyectos de inversión para la vigencia 2017 estructurados derivados del PER"/>
    <x v="165"/>
    <x v="93"/>
    <s v="Competitividad y proyección internacional"/>
    <x v="0"/>
    <x v="0"/>
    <x v="0"/>
    <s v="24 dias"/>
    <d v="2017-12-06T00:00:00"/>
    <d v="2017-12-06T00:00:00"/>
    <x v="2"/>
    <m/>
    <m/>
    <n v="4800000"/>
    <m/>
    <n v="6"/>
    <x v="6"/>
    <n v="2017"/>
    <x v="3"/>
  </r>
  <r>
    <x v="141"/>
    <x v="5"/>
    <s v="100% de proyectos de inversión para la vigencia 2017 estructurados derivados del PER"/>
    <x v="166"/>
    <x v="46"/>
    <s v="Fortalecimiento institucional"/>
    <x v="0"/>
    <x v="0"/>
    <x v="0"/>
    <n v="1"/>
    <d v="2017-11-20T00:00:00"/>
    <d v="2017-12-01T00:00:00"/>
    <x v="2"/>
    <m/>
    <m/>
    <n v="8000000"/>
    <m/>
    <n v="20"/>
    <x v="4"/>
    <n v="2017"/>
    <x v="3"/>
  </r>
  <r>
    <x v="142"/>
    <x v="5"/>
    <s v="3 Acciones orientadas a la certificación del Sistema Integrado de Gestión de Calidad "/>
    <x v="167"/>
    <x v="94"/>
    <s v="Fortalecimiento institucional"/>
    <x v="0"/>
    <x v="4"/>
    <x v="3"/>
    <n v="1"/>
    <d v="2017-11-28T00:00:00"/>
    <d v="2017-12-05T00:00:00"/>
    <x v="2"/>
    <m/>
    <m/>
    <n v="6400445"/>
    <s v="Claudia Paez"/>
    <n v="15"/>
    <x v="10"/>
    <n v="2017"/>
    <x v="3"/>
  </r>
  <r>
    <x v="143"/>
    <x v="5"/>
    <s v="3 Acciones orientadas a la certificación del Sistema Integrado de Gestión de Calidad "/>
    <x v="168"/>
    <x v="67"/>
    <s v="Fortalecimiento institucional"/>
    <x v="0"/>
    <x v="0"/>
    <x v="0"/>
    <n v="5"/>
    <d v="2017-08-15T00:00:00"/>
    <d v="2017-01-15T00:00:00"/>
    <x v="2"/>
    <s v="CONTRATADO: JULIETH ALEJANDRA MUÑOZ ROMERO CTO 089-17 _x000a_3 MILLONES HASTA 30 DE DICIEMBRE 2017_x000a_"/>
    <n v="13400000"/>
    <n v="1600000"/>
    <m/>
    <n v="15"/>
    <x v="8"/>
    <n v="2017"/>
    <x v="0"/>
  </r>
  <r>
    <x v="144"/>
    <x v="5"/>
    <s v="3 Acciones orientadas a la certificación del Sistema Integrado de Gestión de Calidad "/>
    <x v="169"/>
    <x v="41"/>
    <s v="Fortalecimiento institucional"/>
    <x v="0"/>
    <x v="0"/>
    <x v="0"/>
    <n v="4"/>
    <d v="2017-09-23T00:00:00"/>
    <d v="2017-10-01T00:00:00"/>
    <x v="2"/>
    <s v="CONTRATADO: SOLANLLY CASTELLANOS RINCÓN CTO 098-17"/>
    <n v="23100000"/>
    <n v="4900000"/>
    <m/>
    <n v="23"/>
    <x v="10"/>
    <n v="2017"/>
    <x v="0"/>
  </r>
  <r>
    <x v="145"/>
    <x v="5"/>
    <s v="1 Sistema de Información Geográfica actualizado"/>
    <x v="170"/>
    <x v="3"/>
    <s v="Fortalecimiento institucional"/>
    <x v="0"/>
    <x v="0"/>
    <x v="0"/>
    <n v="3"/>
    <d v="2017-07-25T00:00:00"/>
    <d v="2017-08-01T00:00:00"/>
    <x v="2"/>
    <s v="CONTRATADO: ADICIÓN AL CONTRATO ANA JULIER FONSECA CTO 004-17"/>
    <n v="16500000"/>
    <n v="0"/>
    <m/>
    <n v="25"/>
    <x v="7"/>
    <n v="2017"/>
    <x v="0"/>
  </r>
  <r>
    <x v="146"/>
    <x v="5"/>
    <s v="Una solución tecnológica y administrativa implementada que soporte los procesos de la entidad"/>
    <x v="171"/>
    <x v="31"/>
    <s v="Fortalecimiento institucional"/>
    <x v="0"/>
    <x v="8"/>
    <x v="3"/>
    <n v="1"/>
    <d v="2017-10-23T00:00:00"/>
    <d v="2017-11-23T00:00:00"/>
    <x v="3"/>
    <s v="CONTRATADO_x000a_Se crea en la versión 8 a solucitud de la Dirección Corporativa"/>
    <n v="9000000"/>
    <n v="1000000"/>
    <s v="Angela Moreno"/>
    <n v="1"/>
    <x v="10"/>
    <n v="2017"/>
    <x v="0"/>
  </r>
  <r>
    <x v="147"/>
    <x v="5"/>
    <s v="Una solución tecnológica y administrativa implementada que soporte los procesos de la entidad"/>
    <x v="172"/>
    <x v="56"/>
    <s v="Fortalecimiento institucional"/>
    <x v="0"/>
    <x v="4"/>
    <x v="6"/>
    <n v="3"/>
    <d v="2017-11-01T00:00:00"/>
    <d v="2017-12-15T00:00:00"/>
    <x v="3"/>
    <s v="Se crea en la versión 8 a solucitud de la Dirección Corporativa"/>
    <m/>
    <n v="20000000"/>
    <s v="Claudia Paez"/>
    <n v="15"/>
    <x v="10"/>
    <n v="2017"/>
    <x v="4"/>
  </r>
  <r>
    <x v="148"/>
    <x v="5"/>
    <s v="Generar un programa para fortalecer la gestión del talento humano en la entidad"/>
    <x v="173"/>
    <x v="95"/>
    <s v="Fortalecimiento institucional"/>
    <x v="0"/>
    <x v="0"/>
    <x v="3"/>
    <n v="3"/>
    <d v="2017-10-01T00:00:00"/>
    <d v="2017-10-03T00:00:00"/>
    <x v="3"/>
    <s v="Se crea en la versión 8 a solucitud de la Dirección Corporativa_x000a_Se modifica en la vesrión 9 a solcitud de la DC"/>
    <m/>
    <n v="6593200"/>
    <s v="Natalia Naranjo"/>
    <n v="1"/>
    <x v="9"/>
    <n v="2017"/>
    <x v="3"/>
  </r>
  <r>
    <x v="149"/>
    <x v="5"/>
    <s v="3 acciones de cambio de imagen instituciona "/>
    <x v="174"/>
    <x v="55"/>
    <s v="Fortalecimiento institucional"/>
    <x v="0"/>
    <x v="0"/>
    <x v="0"/>
    <n v="5"/>
    <d v="2017-07-15T00:00:00"/>
    <d v="2017-08-01T00:00:00"/>
    <x v="1"/>
    <s v="CONTRATADO: GERMAN ENRIQUE GIRALDO CTO 077-17_x000a_4 MESES X 6.5 MILLONES"/>
    <n v="26000000"/>
    <n v="0"/>
    <m/>
    <n v="15"/>
    <x v="7"/>
    <n v="2017"/>
    <x v="0"/>
  </r>
  <r>
    <x v="150"/>
    <x v="5"/>
    <s v="3 acciones de cambio de imagen instituciona"/>
    <x v="76"/>
    <x v="96"/>
    <s v="Fortalecimiento institucional"/>
    <x v="0"/>
    <x v="0"/>
    <x v="6"/>
    <n v="3"/>
    <d v="2017-08-11T00:00:00"/>
    <d v="2017-09-30T00:00:00"/>
    <x v="1"/>
    <s v="CONTRATADO: TV ANDINA CANAL 13 CTO 099-17"/>
    <n v="98000000"/>
    <n v="0"/>
    <s v="Claudia Paez"/>
    <n v="11"/>
    <x v="8"/>
    <n v="2017"/>
    <x v="0"/>
  </r>
  <r>
    <x v="151"/>
    <x v="5"/>
    <s v="3 acciones de cambio de imagen institucionaL"/>
    <x v="175"/>
    <x v="97"/>
    <s v="Fortalecimiento institucional"/>
    <x v="0"/>
    <x v="7"/>
    <x v="6"/>
    <n v="3"/>
    <d v="2017-08-15T00:00:00"/>
    <d v="2017-09-15T00:00:00"/>
    <x v="1"/>
    <s v="CONTRATADO: FENIX MEDIA GROUP LIMITADA CTO 119-17"/>
    <n v="110000000"/>
    <n v="0"/>
    <s v="Angela Moreno"/>
    <n v="15"/>
    <x v="8"/>
    <n v="2017"/>
    <x v="0"/>
  </r>
  <r>
    <x v="152"/>
    <x v="5"/>
    <s v="3 acciones de cambio de imagen instituciona"/>
    <x v="176"/>
    <x v="1"/>
    <s v="Fortalecimiento institucional"/>
    <x v="0"/>
    <x v="0"/>
    <x v="3"/>
    <n v="3"/>
    <d v="2017-08-15T00:00:00"/>
    <d v="2017-08-20T00:00:00"/>
    <x v="1"/>
    <m/>
    <m/>
    <n v="0"/>
    <s v="Claudia Paez"/>
    <n v="15"/>
    <x v="8"/>
    <n v="2017"/>
    <x v="4"/>
  </r>
  <r>
    <x v="153"/>
    <x v="5"/>
    <s v="1 Estrategia ejecutada de comunicación que combien acciones de ATL - BTL y Freepress"/>
    <x v="177"/>
    <x v="98"/>
    <s v="Fortalecimiento institucional"/>
    <x v="0"/>
    <x v="0"/>
    <x v="3"/>
    <n v="4"/>
    <d v="2017-08-23T00:00:00"/>
    <d v="2017-08-31T00:00:00"/>
    <x v="1"/>
    <s v="CONTRATADO: JAIME ANDRÉS FLOREZ MURCIA CTO 097-17_x000a_8 MILLONES - HASTA EL 31 DE DICIEMBRE"/>
    <n v="27466658"/>
    <n v="0"/>
    <s v="Natalia Naranjo"/>
    <n v="23"/>
    <x v="8"/>
    <n v="2017"/>
    <x v="0"/>
  </r>
  <r>
    <x v="154"/>
    <x v="5"/>
    <s v="Generar un programa para fortalecer la gestión del talento humano en la entidad"/>
    <x v="178"/>
    <x v="99"/>
    <s v="Fortalecimiento institucional"/>
    <x v="0"/>
    <x v="0"/>
    <x v="3"/>
    <n v="1"/>
    <d v="2017-08-15T00:00:00"/>
    <d v="2017-08-18T00:00:00"/>
    <x v="3"/>
    <s v="CONTRATADO: HUMAN CHANGE CTO 084-17_x000a_UN PAGO _x000a_Se crea en versión 9 a solicitud de la DC"/>
    <n v="5421900"/>
    <n v="11900"/>
    <s v="Natalia Naranjo"/>
    <n v="15"/>
    <x v="8"/>
    <n v="2017"/>
    <x v="0"/>
  </r>
  <r>
    <x v="155"/>
    <x v="5"/>
    <s v="Generar un programa para fortalecer la gestión del talento humano en la entidad"/>
    <x v="179"/>
    <x v="100"/>
    <s v="Fortalecimiento institucional"/>
    <x v="0"/>
    <x v="0"/>
    <x v="3"/>
    <n v="3"/>
    <d v="2017-08-09T00:00:00"/>
    <d v="2017-09-30T00:00:00"/>
    <x v="3"/>
    <s v="CONTRATADO: GPW PEOPLE´S VOICE SAS CTO 083-17_x000a_Se crea en versión 9 a solicitud de la DC_x000a_"/>
    <n v="7973000"/>
    <n v="0"/>
    <s v="Natalia Naranjo"/>
    <n v="9"/>
    <x v="8"/>
    <n v="2017"/>
    <x v="0"/>
  </r>
  <r>
    <x v="156"/>
    <x v="5"/>
    <s v="Una solución tecnológica y administrativa implementada que soporte los procesos de la entidad"/>
    <x v="180"/>
    <x v="67"/>
    <s v="Fortalecimiento institucional"/>
    <x v="0"/>
    <x v="4"/>
    <x v="3"/>
    <n v="4"/>
    <d v="2017-11-01T00:00:00"/>
    <d v="2017-12-15T00:00:00"/>
    <x v="3"/>
    <s v="Se crea en versión 9 a solicitud de la DC"/>
    <m/>
    <n v="15000000"/>
    <s v="Angela Moreno"/>
    <n v="15"/>
    <x v="9"/>
    <n v="2017"/>
    <x v="3"/>
  </r>
  <r>
    <x v="157"/>
    <x v="5"/>
    <s v="100% de proyectos de inversión para la vigencia 2017 estructurados derivados del PER"/>
    <x v="181"/>
    <x v="45"/>
    <s v="Fortalecimiento institucional"/>
    <x v="0"/>
    <x v="0"/>
    <x v="0"/>
    <n v="3"/>
    <d v="2017-09-05T00:00:00"/>
    <d v="2017-09-06T00:00:00"/>
    <x v="0"/>
    <s v="ADICIONADO: JULIO CESAR PULIDO CTO 023-17_x000a_24 MILLONES X 3 MESES"/>
    <n v="24000000"/>
    <n v="0"/>
    <m/>
    <n v="5"/>
    <x v="10"/>
    <n v="2017"/>
    <x v="0"/>
  </r>
  <r>
    <x v="158"/>
    <x v="5"/>
    <s v="1 Sistema de Información Geográfica actualizado"/>
    <x v="182"/>
    <x v="17"/>
    <s v="Fortalecimiento institucional"/>
    <x v="0"/>
    <x v="0"/>
    <x v="0"/>
    <n v="2"/>
    <d v="2017-10-18T00:00:00"/>
    <d v="2017-11-01T00:00:00"/>
    <x v="2"/>
    <s v="CONTRATADO: LUIS ENRIQUE CAICEDO CTO 109-17"/>
    <n v="11600000"/>
    <n v="1900000"/>
    <m/>
    <n v="18"/>
    <x v="9"/>
    <n v="2017"/>
    <x v="0"/>
  </r>
  <r>
    <x v="159"/>
    <x v="5"/>
    <s v="Una solución tecnológica y administrativa implementada que soporte los procesos de la entidad"/>
    <x v="183"/>
    <x v="101"/>
    <s v="Fortalecimiento institucional"/>
    <x v="0"/>
    <x v="8"/>
    <x v="3"/>
    <n v="1"/>
    <d v="2017-11-30T00:00:00"/>
    <d v="2017-12-30T00:00:00"/>
    <x v="3"/>
    <m/>
    <m/>
    <n v="38000000"/>
    <m/>
    <n v="30"/>
    <x v="4"/>
    <n v="2017"/>
    <x v="3"/>
  </r>
  <r>
    <x v="160"/>
    <x v="5"/>
    <s v="3 acciones de cambio de imagen instituciona"/>
    <x v="184"/>
    <x v="102"/>
    <s v="Fortalecimiento institucional"/>
    <x v="0"/>
    <x v="8"/>
    <x v="3"/>
    <n v="2"/>
    <d v="2017-11-02T00:00:00"/>
    <d v="2017-11-08T00:00:00"/>
    <x v="1"/>
    <s v="CONTRATADO: PANAMERICANA OC 21757"/>
    <n v="9410282"/>
    <n v="0"/>
    <m/>
    <n v="2"/>
    <x v="4"/>
    <n v="2017"/>
    <x v="0"/>
  </r>
  <r>
    <x v="161"/>
    <x v="5"/>
    <s v="3 acciones de cambio de imagen instituciona"/>
    <x v="185"/>
    <x v="103"/>
    <s v="Fortalecimiento institucional"/>
    <x v="0"/>
    <x v="8"/>
    <x v="3"/>
    <n v="1"/>
    <d v="2017-11-08T00:00:00"/>
    <d v="2017-11-10T00:00:00"/>
    <x v="1"/>
    <m/>
    <m/>
    <n v="5878712"/>
    <m/>
    <n v="8"/>
    <x v="4"/>
    <n v="2017"/>
    <x v="4"/>
  </r>
  <r>
    <x v="162"/>
    <x v="5"/>
    <s v="3 acciones de cambio de imagen instituciona"/>
    <x v="186"/>
    <x v="104"/>
    <s v="Fortalecimiento institucional"/>
    <x v="0"/>
    <x v="4"/>
    <x v="3"/>
    <n v="1"/>
    <d v="2017-11-08T00:00:00"/>
    <d v="2017-11-10T00:00:00"/>
    <x v="1"/>
    <s v="CONTRATADO: INTERNACIONAL DE CAMARAS Y LENTES S.A.S CTO 118-17"/>
    <n v="19413000"/>
    <n v="0"/>
    <m/>
    <n v="8"/>
    <x v="4"/>
    <n v="2017"/>
    <x v="0"/>
  </r>
  <r>
    <x v="163"/>
    <x v="5"/>
    <s v="3 acciones de cambio de imagen instituciona"/>
    <x v="187"/>
    <x v="105"/>
    <s v="Fortalecimiento institucional"/>
    <x v="0"/>
    <x v="7"/>
    <x v="3"/>
    <n v="1"/>
    <d v="2017-11-09T00:00:00"/>
    <d v="2017-11-15T00:00:00"/>
    <x v="1"/>
    <s v="CONTRATADO: CANAL REGIONAL  DE TELEVISIÓN TEVEANDINA LTDA – TEVEANDINA LTDA CTO 112-17"/>
    <n v="48509428"/>
    <n v="0"/>
    <m/>
    <n v="9"/>
    <x v="4"/>
    <n v="2017"/>
    <x v="0"/>
  </r>
  <r>
    <x v="164"/>
    <x v="6"/>
    <s v="Realizar el ejercicio de planeación de la gestión contractual requerida para la vigencia"/>
    <x v="188"/>
    <x v="106"/>
    <s v="Honorarios"/>
    <x v="0"/>
    <x v="0"/>
    <x v="0"/>
    <n v="10"/>
    <d v="2017-01-13T00:00:00"/>
    <d v="2017-01-16T00:00:00"/>
    <x v="3"/>
    <s v="CONTRATADO: CLAUDIA PÁEZ CTO 001-17_x000a_6 MESES X 6`1 MILLONES _x000a_tenia 61 millones"/>
    <n v="36600000"/>
    <n v="0"/>
    <m/>
    <n v="13"/>
    <x v="2"/>
    <n v="2017"/>
    <x v="0"/>
  </r>
  <r>
    <x v="164"/>
    <x v="6"/>
    <s v="Realizar el ejercicio de planeación de la gestión contractual requerida para la vigencia"/>
    <x v="188"/>
    <x v="107"/>
    <s v="Honorarios"/>
    <x v="0"/>
    <x v="0"/>
    <x v="0"/>
    <n v="5.5"/>
    <d v="2017-07-10T00:00:00"/>
    <d v="2017-07-17T00:00:00"/>
    <x v="3"/>
    <s v="CONTRATADO: CLAUDIA PAEZ CTO 070-17_x000a_5 meses y 13 días X 6'1 MILLONES"/>
    <n v="33143333"/>
    <n v="0"/>
    <m/>
    <n v="10"/>
    <x v="7"/>
    <n v="2017"/>
    <x v="0"/>
  </r>
  <r>
    <x v="165"/>
    <x v="6"/>
    <s v="Realizar el ejercicio de planeación de la gestión contractual requerida para la vigencia"/>
    <x v="189"/>
    <x v="1"/>
    <s v="Honorarios"/>
    <x v="0"/>
    <x v="0"/>
    <x v="0"/>
    <n v="10"/>
    <m/>
    <m/>
    <x v="3"/>
    <m/>
    <m/>
    <n v="0"/>
    <m/>
    <m/>
    <x v="1"/>
    <m/>
    <x v="1"/>
  </r>
  <r>
    <x v="166"/>
    <x v="6"/>
    <s v="Realizar el ejercicio de planeación de la gestión contractual requerida para la vigencia"/>
    <x v="189"/>
    <x v="108"/>
    <s v="Honorarios"/>
    <x v="0"/>
    <x v="0"/>
    <x v="0"/>
    <n v="10"/>
    <d v="2017-01-13T00:00:00"/>
    <d v="2017-01-16T00:00:00"/>
    <x v="3"/>
    <s v="CONTRATADO: ANGELA PATRICIA MORENO_x000a_7 MESES X 7 MILLONES_x000a_Tenía 54 millones"/>
    <n v="49000000"/>
    <n v="0"/>
    <m/>
    <n v="13"/>
    <x v="2"/>
    <n v="2017"/>
    <x v="0"/>
  </r>
  <r>
    <x v="166"/>
    <x v="6"/>
    <s v="Realizar el ejercicio de planeación de la gestión contractual requerida para la vigencia"/>
    <x v="190"/>
    <x v="109"/>
    <s v="Honorarios"/>
    <x v="0"/>
    <x v="0"/>
    <x v="0"/>
    <n v="4"/>
    <d v="2017-09-01T00:00:00"/>
    <d v="2017-09-08T00:00:00"/>
    <x v="3"/>
    <s v="CONTRATADO: ANGELA PATRICIA MORENO"/>
    <n v="24500000"/>
    <n v="0"/>
    <m/>
    <n v="1"/>
    <x v="10"/>
    <n v="2017"/>
    <x v="0"/>
  </r>
  <r>
    <x v="167"/>
    <x v="6"/>
    <s v="Realizar el ejercicio de planeación de la gestión contractual requerida para la vigencia"/>
    <x v="191"/>
    <x v="110"/>
    <s v="Honorarios"/>
    <x v="0"/>
    <x v="0"/>
    <x v="0"/>
    <n v="10"/>
    <d v="2017-01-13T00:00:00"/>
    <d v="2017-02-16T00:00:00"/>
    <x v="3"/>
    <s v="CONTRATADO: EDWIN ANDRÉS CLAVIJO CTO 022-17_x000a_8 MESES X 6'1 MILLONES_x000a_Tenia 61 millones"/>
    <n v="48800000"/>
    <n v="0"/>
    <m/>
    <n v="13"/>
    <x v="2"/>
    <n v="2017"/>
    <x v="0"/>
  </r>
  <r>
    <x v="167"/>
    <x v="6"/>
    <s v="Realizar el ejercicio de planeación de la gestión contractual requerida para la vigencia"/>
    <x v="192"/>
    <x v="71"/>
    <s v="Honorarios"/>
    <x v="0"/>
    <x v="0"/>
    <x v="0"/>
    <n v="2.5"/>
    <d v="2017-10-01T00:00:00"/>
    <d v="2017-10-15T00:00:00"/>
    <x v="3"/>
    <s v="ADICIONADO: EDWIN ANDRÉS CLAVIJO CTO 022-17"/>
    <n v="15250000"/>
    <n v="0"/>
    <m/>
    <n v="1"/>
    <x v="9"/>
    <n v="2017"/>
    <x v="0"/>
  </r>
  <r>
    <x v="168"/>
    <x v="6"/>
    <s v="Mantener  la disponibilidad e integridad de la infraestructura tecnologica de la entidad e implementar las soluciones tecnológicas requeridas"/>
    <x v="193"/>
    <x v="111"/>
    <s v="Honorarios"/>
    <x v="0"/>
    <x v="0"/>
    <x v="0"/>
    <n v="11"/>
    <d v="2017-01-13T00:00:00"/>
    <d v="2017-02-01T00:00:00"/>
    <x v="3"/>
    <s v="CONTRATADO: LUIS RAVELO_x000a_6 MESES X 3,4 MILLONES_x000a_Tenia 38 millones"/>
    <n v="20400000"/>
    <n v="0"/>
    <m/>
    <n v="13"/>
    <x v="2"/>
    <n v="2017"/>
    <x v="0"/>
  </r>
  <r>
    <x v="168"/>
    <x v="6"/>
    <s v="Mantener  la disponibilidad e integridad de la infraestructura tecnologica de la entidad e implementar las soluciones tecnológicas requeridas"/>
    <x v="193"/>
    <x v="112"/>
    <s v="Honorarios"/>
    <x v="0"/>
    <x v="0"/>
    <x v="0"/>
    <n v="4"/>
    <d v="2017-08-02T00:00:00"/>
    <d v="2017-08-06T00:00:00"/>
    <x v="3"/>
    <s v="CONTRATADO: ROY STIK LARRARTE CRUZ CTO 091-17_x000a_3.4 MILLONES X 4 MESES"/>
    <n v="13600000"/>
    <n v="322228"/>
    <m/>
    <n v="2"/>
    <x v="8"/>
    <n v="2017"/>
    <x v="0"/>
  </r>
  <r>
    <x v="169"/>
    <x v="6"/>
    <s v="Mantener  la disponibilidad e integridad de la infraestructura tecnologica de la entidad e implementar las soluciones tecnológicas requeridas"/>
    <x v="194"/>
    <x v="113"/>
    <s v="Honorarios"/>
    <x v="0"/>
    <x v="0"/>
    <x v="0"/>
    <n v="3"/>
    <d v="2017-08-15T00:00:00"/>
    <d v="2017-08-18T00:00:00"/>
    <x v="3"/>
    <s v="CONTRATADO: JUAN GABRIEL JIMENEZ CTO 090-17_x000a_7.377 MILLONES X 3 MESES 10 DIAS"/>
    <n v="24590000"/>
    <n v="0"/>
    <m/>
    <n v="15"/>
    <x v="8"/>
    <n v="2017"/>
    <x v="0"/>
  </r>
  <r>
    <x v="170"/>
    <x v="6"/>
    <s v="Contar con la infraestructura física requerida por la entidad y realizar el control y seguimiento a los bienes y servicios de la entidad"/>
    <x v="195"/>
    <x v="114"/>
    <s v="Materiales y Suministros"/>
    <x v="0"/>
    <x v="8"/>
    <x v="6"/>
    <n v="4"/>
    <d v="2017-11-22T00:00:00"/>
    <d v="2015-12-15T00:00:00"/>
    <x v="3"/>
    <s v="Se crea en la versión 6 por solicitud de la Dirección Corporativa"/>
    <m/>
    <n v="6500000"/>
    <s v="Angela Moreno"/>
    <n v="1"/>
    <x v="9"/>
    <n v="2017"/>
    <x v="3"/>
  </r>
  <r>
    <x v="171"/>
    <x v="6"/>
    <s v="Contar con la infraestructura física requerida por la entidad y realizar el control y seguimiento a los bienes y servicios de la entidad"/>
    <x v="196"/>
    <x v="115"/>
    <s v="Materiales y Suministros"/>
    <x v="0"/>
    <x v="4"/>
    <x v="6"/>
    <n v="1"/>
    <d v="2017-04-25T00:00:00"/>
    <d v="2017-05-18T00:00:00"/>
    <x v="3"/>
    <s v="CONTRATADO: 062-17 COMERCIALIZADORA VIMEL LTDA._x000a_2 MILLON ES x 1 MES_x000a_Se crea en la versión 6 por solicitud de la Dirección Corporativa"/>
    <n v="2000000"/>
    <n v="0"/>
    <m/>
    <n v="25"/>
    <x v="3"/>
    <n v="2017"/>
    <x v="0"/>
  </r>
  <r>
    <x v="172"/>
    <x v="6"/>
    <s v="Contar con la infraestructura física requerida por la entidad y realizar el control y seguimiento a los bienes y servicios de la entidad"/>
    <x v="197"/>
    <x v="91"/>
    <s v="Materiales y Suministros"/>
    <x v="0"/>
    <x v="4"/>
    <x v="6"/>
    <s v="al 31 de diciembre 201"/>
    <d v="2017-12-13T00:00:00"/>
    <d v="2017-12-31T00:00:00"/>
    <x v="3"/>
    <m/>
    <m/>
    <n v="4000000"/>
    <m/>
    <n v="13"/>
    <x v="6"/>
    <n v="2017"/>
    <x v="3"/>
  </r>
  <r>
    <x v="173"/>
    <x v="6"/>
    <s v="Mantener  la disponibilidad e integridad de la infraestructura tecnologica de la entidad e implementar las soluciones tecnológicas requeridas"/>
    <x v="198"/>
    <x v="116"/>
    <s v="Gastos de Computador"/>
    <x v="0"/>
    <x v="8"/>
    <x v="3"/>
    <n v="1"/>
    <d v="2017-10-23T00:00:00"/>
    <d v="2017-11-23T00:00:00"/>
    <x v="3"/>
    <s v="CONTRATADO "/>
    <n v="17154787"/>
    <n v="6145213"/>
    <s v="Angela Moreno"/>
    <n v="1"/>
    <x v="10"/>
    <n v="2017"/>
    <x v="0"/>
  </r>
  <r>
    <x v="174"/>
    <x v="6"/>
    <s v="Mantener  la disponibilidad e integridad de la infraestructura tecnologica de la entidad e implementar las soluciones tecnológicas requeridas"/>
    <x v="199"/>
    <x v="117"/>
    <s v="Gastos de Computador"/>
    <x v="0"/>
    <x v="4"/>
    <x v="3"/>
    <n v="1"/>
    <m/>
    <m/>
    <x v="3"/>
    <m/>
    <m/>
    <n v="3715372"/>
    <m/>
    <m/>
    <x v="1"/>
    <m/>
    <x v="1"/>
  </r>
  <r>
    <x v="175"/>
    <x v="6"/>
    <s v="Mantener  la disponibilidad e integridad de la infraestructura tecnologica de la entidad e implementar las soluciones tecnológicas requeridas"/>
    <x v="200"/>
    <x v="118"/>
    <s v="Gastos de Computador"/>
    <x v="0"/>
    <x v="0"/>
    <x v="3"/>
    <n v="12"/>
    <d v="2017-12-01T00:00:00"/>
    <d v="2017-12-20T00:00:00"/>
    <x v="3"/>
    <m/>
    <m/>
    <n v="10662400"/>
    <s v="Natalia Naranjo"/>
    <n v="1"/>
    <x v="6"/>
    <n v="2017"/>
    <x v="3"/>
  </r>
  <r>
    <x v="176"/>
    <x v="6"/>
    <s v="Contar con la infraestructura física requerida por la entidad y realizar el control y seguimiento a los bienes y servicios de la entidad"/>
    <x v="201"/>
    <x v="119"/>
    <s v="Comunicación y Transporte"/>
    <x v="0"/>
    <x v="3"/>
    <x v="3"/>
    <n v="2"/>
    <d v="2017-01-16T00:00:00"/>
    <d v="2017-01-23T00:00:00"/>
    <x v="3"/>
    <s v="CONTRATADO: PLATINO VIP 17/01/2017"/>
    <n v="8700000"/>
    <n v="0"/>
    <m/>
    <n v="16"/>
    <x v="2"/>
    <n v="2017"/>
    <x v="0"/>
  </r>
  <r>
    <x v="177"/>
    <x v="6"/>
    <s v="Contar con la infraestructura física requerida por la entidad y realizar el control y seguimiento a los bienes y servicios de la entidad"/>
    <x v="202"/>
    <x v="120"/>
    <s v="Comunicación y Transporte"/>
    <x v="0"/>
    <x v="7"/>
    <x v="3"/>
    <n v="8"/>
    <d v="2017-03-15T00:00:00"/>
    <d v="2017-04-15T00:00:00"/>
    <x v="3"/>
    <s v="CONTRATADO: SERVITAC LTDA.  _x000a_CONTRATO 055-2017 _x000a_Se modifica en la versión 2 el valor por solicitud de la Dirección Corporativa"/>
    <n v="53000000"/>
    <n v="0"/>
    <m/>
    <n v="15"/>
    <x v="5"/>
    <n v="2017"/>
    <x v="0"/>
  </r>
  <r>
    <x v="177"/>
    <x v="6"/>
    <s v="Contar con la infraestructura física requerida por la entidad y realizar el control y seguimiento a los bienes y servicios de la entidad"/>
    <x v="203"/>
    <x v="121"/>
    <s v="Comunicación y Transporte"/>
    <x v="0"/>
    <x v="3"/>
    <x v="3"/>
    <n v="4"/>
    <d v="2017-09-15T00:00:00"/>
    <d v="2017-09-16T00:00:00"/>
    <x v="3"/>
    <s v="Adicionado: SERVITAC 055-17"/>
    <n v="5000000"/>
    <n v="0"/>
    <m/>
    <n v="15"/>
    <x v="10"/>
    <n v="2017"/>
    <x v="0"/>
  </r>
  <r>
    <x v="178"/>
    <x v="6"/>
    <s v="Satisfacer las necesidades de información de los usuarios, dando cumplimiento a los términos de ley"/>
    <x v="204"/>
    <x v="122"/>
    <s v="Comunicación y Transporte"/>
    <x v="0"/>
    <x v="8"/>
    <x v="3"/>
    <n v="12"/>
    <d v="2017-03-01T00:00:00"/>
    <d v="2017-03-15T00:00:00"/>
    <x v="3"/>
    <s v="CONTRATADO: 472 - SERVICIOS POSTALES NACIONALES S.A._x000a_ORDEN DECOMPRA 17559"/>
    <n v="4030520"/>
    <n v="0"/>
    <m/>
    <n v="1"/>
    <x v="5"/>
    <n v="2017"/>
    <x v="0"/>
  </r>
  <r>
    <x v="179"/>
    <x v="6"/>
    <s v="Contar con la infraestructura física requerida por la entidad y realizar el control y seguimiento a los bienes y servicios de la entidad"/>
    <x v="202"/>
    <x v="66"/>
    <s v="Comunicación y Transporte"/>
    <x v="0"/>
    <x v="7"/>
    <x v="3"/>
    <n v="3"/>
    <d v="2017-09-01T00:00:00"/>
    <d v="2017-10-01T00:00:00"/>
    <x v="3"/>
    <s v="CONTRTADO: SERVITAC CTO 105-17_x000a_3 MESES "/>
    <n v="27000000"/>
    <n v="0"/>
    <s v="Angela Moreno"/>
    <n v="1"/>
    <x v="10"/>
    <n v="2017"/>
    <x v="0"/>
  </r>
  <r>
    <x v="180"/>
    <x v="6"/>
    <s v="Mantener  la disponibilidad e integridad de la infraestructura tecnologica de la entidad e implementar las soluciones tecnológicas requeridas"/>
    <x v="205"/>
    <x v="123"/>
    <s v="Comunicación y Transporte"/>
    <x v="0"/>
    <x v="7"/>
    <x v="3"/>
    <n v="12"/>
    <d v="2017-02-15T00:00:00"/>
    <d v="2017-03-27T00:00:00"/>
    <x v="3"/>
    <s v="CONTRATADO: EMPRESA DE TELECOMUNICACIONES DE BOGOTÁ S.A.E.S.P._x000a_CONTRATO: CONTRATO 050-2017"/>
    <n v="21043008"/>
    <n v="0"/>
    <m/>
    <n v="15"/>
    <x v="0"/>
    <n v="2017"/>
    <x v="0"/>
  </r>
  <r>
    <x v="180"/>
    <x v="6"/>
    <s v="Mantener  la disponibilidad e integridad de la infraestructura tecnologica de la entidad e implementar las soluciones tecnológicas requeridas"/>
    <x v="205"/>
    <x v="124"/>
    <s v="Servicios Públicos"/>
    <x v="0"/>
    <x v="7"/>
    <x v="3"/>
    <n v="12"/>
    <d v="2017-02-15T00:00:00"/>
    <d v="2017-03-27T00:00:00"/>
    <x v="3"/>
    <s v="CONTRATADO: EMPRESA DE TELECOMUNICACIONES DE BOGOTÁ S.A.E.S.P._x000a_CONTRATO: CONTRATO 050-2017"/>
    <n v="9996000"/>
    <n v="0"/>
    <m/>
    <n v="15"/>
    <x v="0"/>
    <n v="2017"/>
    <x v="0"/>
  </r>
  <r>
    <x v="181"/>
    <x v="6"/>
    <s v="Contar con la infraestructura física requerida por la entidad y realizar el control y seguimiento a los bienes y servicios de la entidad"/>
    <x v="206"/>
    <x v="125"/>
    <s v="Seguros"/>
    <x v="0"/>
    <x v="7"/>
    <x v="3"/>
    <n v="13.6"/>
    <d v="2017-03-01T00:00:00"/>
    <d v="2017-04-17T00:00:00"/>
    <x v="3"/>
    <s v="CONTRATADO: ASEGURADORA SOLIDARIA DE COLOMBIA _x000a_CONTRATO: 054-2017_x000a_Se modifica en la versión 4 por solicitud de la Dirección Corporativa"/>
    <n v="38506528"/>
    <n v="0"/>
    <m/>
    <n v="1"/>
    <x v="5"/>
    <n v="2017"/>
    <x v="0"/>
  </r>
  <r>
    <x v="181"/>
    <x v="6"/>
    <s v="Contar con la infraestructura física requerida por la entidad y realizar el control y seguimiento a los bienes y servicios de la entidad"/>
    <x v="207"/>
    <x v="126"/>
    <s v="Seguros"/>
    <x v="0"/>
    <x v="3"/>
    <x v="3"/>
    <n v="1"/>
    <d v="2017-08-04T00:00:00"/>
    <s v="10/08/52017"/>
    <x v="3"/>
    <s v="ADICIONADO: ASEGURADORA SOLIDARIA DE COLOMBIA _x000a_CONTRATO: 054-2017_x000a_Se modifica en la versión 4 por solicitud de la Dirección Corporativa"/>
    <n v="93472"/>
    <n v="0"/>
    <m/>
    <n v="4"/>
    <x v="8"/>
    <n v="2017"/>
    <x v="0"/>
  </r>
  <r>
    <x v="182"/>
    <x v="6"/>
    <s v="Realizar el ejercicio de planeación de la gestión contractual requerida para la vigencia"/>
    <x v="208"/>
    <x v="127"/>
    <s v="Impresos y Publicaciones"/>
    <x v="0"/>
    <x v="0"/>
    <x v="3"/>
    <n v="12"/>
    <d v="2017-08-15T00:00:00"/>
    <d v="2017-09-01T00:00:00"/>
    <x v="3"/>
    <s v="CONTRATADO: CONTEXTO JURÍDICO CTO 093-17_x000a_UN AÑO"/>
    <n v="1200000"/>
    <n v="0"/>
    <s v="Claudia Paez"/>
    <n v="15"/>
    <x v="8"/>
    <n v="2017"/>
    <x v="0"/>
  </r>
  <r>
    <x v="183"/>
    <x v="6"/>
    <s v="Realizar el ejercicio de planeación de la gestión contractual requerida para la vigencia"/>
    <x v="187"/>
    <x v="4"/>
    <s v="Impresos y Publicaciones"/>
    <x v="0"/>
    <x v="7"/>
    <x v="3"/>
    <n v="1"/>
    <d v="2017-11-09T00:00:00"/>
    <d v="2017-11-15T00:00:00"/>
    <x v="1"/>
    <s v="CONTRATADO: CANAL REGIONAL  DE TELEVISIÓN TEVEANDINA LTDA – TEVEANDINA LTDA CTO 112-17"/>
    <n v="30000000"/>
    <n v="0"/>
    <m/>
    <n v="9"/>
    <x v="4"/>
    <n v="2017"/>
    <x v="0"/>
  </r>
  <r>
    <x v="184"/>
    <x v="6"/>
    <s v="Realizar el ejercicio de planeación de la gestión contractual requerida para la vigencia"/>
    <x v="55"/>
    <x v="9"/>
    <s v="Impresos y Publicaciones"/>
    <x v="0"/>
    <x v="0"/>
    <x v="6"/>
    <s v="N/A"/>
    <d v="2017-11-09T00:00:00"/>
    <d v="2017-11-15T00:00:00"/>
    <x v="1"/>
    <m/>
    <m/>
    <n v="42000000"/>
    <m/>
    <n v="9"/>
    <x v="4"/>
    <n v="2017"/>
    <x v="4"/>
  </r>
  <r>
    <x v="185"/>
    <x v="6"/>
    <s v="Contar con la infraestructura física requerida por la entidad y realizar el control y seguimiento a los bienes y servicios de la entidad"/>
    <x v="209"/>
    <x v="128"/>
    <s v="Mantenimiento"/>
    <x v="0"/>
    <x v="8"/>
    <x v="3"/>
    <n v="12"/>
    <d v="2017-01-13T00:00:00"/>
    <d v="2017-01-23T00:00:00"/>
    <x v="3"/>
    <s v="CONTRATADO: SERVIASEO OC 13668 DE 2017"/>
    <n v="24651979"/>
    <n v="0"/>
    <m/>
    <n v="13"/>
    <x v="2"/>
    <n v="2017"/>
    <x v="0"/>
  </r>
  <r>
    <x v="186"/>
    <x v="6"/>
    <s v="Contar con la infraestructura física requerida por la entidad y realizar el control y seguimiento a los bienes y servicios de la entidad"/>
    <x v="210"/>
    <x v="129"/>
    <s v="Mantenimiento"/>
    <x v="0"/>
    <x v="7"/>
    <x v="3"/>
    <n v="1"/>
    <d v="2017-03-01T00:00:00"/>
    <d v="2017-03-27T00:00:00"/>
    <x v="3"/>
    <s v="CONTRATADO:  SERVICIOS INTEGRALES DE ARQUITECTURA Y CONSTRUCCIÓN SERARCO S.A.S. CONTRATO 056-2017 _x000a_Se modifica en la versión 4 por solicitud de la Dirección Corporativa"/>
    <n v="62950032"/>
    <n v="0"/>
    <m/>
    <n v="1"/>
    <x v="5"/>
    <n v="2017"/>
    <x v="0"/>
  </r>
  <r>
    <x v="187"/>
    <x v="6"/>
    <s v="Contar con la infraestructura física requerida por la entidad y realizar el control y seguimiento a los bienes y servicios de la entidad"/>
    <x v="211"/>
    <x v="130"/>
    <s v="Mantenimiento"/>
    <x v="0"/>
    <x v="7"/>
    <x v="3"/>
    <n v="1"/>
    <d v="2017-03-28T00:00:00"/>
    <d v="2017-03-28T00:00:00"/>
    <x v="3"/>
    <s v="CONTRATADO:  SERVICIOS INTEGRALES DE ARQUITECTURA Y CONSTRUCCIÓN SERARCO S.A.S. CONTRATO 056-2017 _x000a_Se modifica en la versión 6 por solicitud de la Dirección Corporativa"/>
    <n v="5426568"/>
    <n v="-0.41999999992549419"/>
    <m/>
    <n v="28"/>
    <x v="5"/>
    <n v="2017"/>
    <x v="0"/>
  </r>
  <r>
    <x v="188"/>
    <x v="6"/>
    <s v="Contar con la infraestructura física requerida por la entidad y realizar el control y seguimiento a los bienes y servicios de la entidad"/>
    <x v="212"/>
    <x v="91"/>
    <s v="Mantenimiento"/>
    <x v="0"/>
    <x v="4"/>
    <x v="6"/>
    <n v="2"/>
    <d v="2017-10-15T00:00:00"/>
    <d v="2017-11-15T00:00:00"/>
    <x v="3"/>
    <m/>
    <m/>
    <n v="4000000"/>
    <m/>
    <n v="15"/>
    <x v="9"/>
    <n v="2017"/>
    <x v="3"/>
  </r>
  <r>
    <x v="189"/>
    <x v="6"/>
    <s v="Contar con la infraestructura física requerida por la entidad y realizar el control y seguimiento a los bienes y servicios de la entidad"/>
    <x v="213"/>
    <x v="131"/>
    <s v="Arrendamientos"/>
    <x v="0"/>
    <x v="0"/>
    <x v="10"/>
    <n v="12"/>
    <d v="2017-01-15T00:00:00"/>
    <d v="2017-02-01T00:00:00"/>
    <x v="3"/>
    <s v="CONTRATADO FONNEGRA INMOBILIARIA_x000a_CONTRATO No. XXX DE 2017_x000a_Se modifica en la versión 4 por solicitud de la Dirección Corporativa"/>
    <n v="193888200"/>
    <n v="0"/>
    <m/>
    <n v="15"/>
    <x v="2"/>
    <n v="2017"/>
    <x v="0"/>
  </r>
  <r>
    <x v="190"/>
    <x v="6"/>
    <s v="Contribuir al mejoramiento de la Calidad de Vida de los servidores de la RAPE fomentando una armonía personal, laboral y familiar entre los funcionarios de la entidad"/>
    <x v="214"/>
    <x v="5"/>
    <s v="Bienestar Social"/>
    <x v="0"/>
    <x v="0"/>
    <x v="3"/>
    <n v="12"/>
    <d v="2017-06-07T00:00:00"/>
    <d v="2017-07-07T00:00:00"/>
    <x v="3"/>
    <s v="CONTRATADO: COLSUBSIDIO CTO 64-17"/>
    <n v="47826114"/>
    <n v="173886"/>
    <m/>
    <n v="7"/>
    <x v="11"/>
    <n v="2017"/>
    <x v="0"/>
  </r>
  <r>
    <x v="191"/>
    <x v="6"/>
    <s v="Contribuir al mejoramiento de la Calidad de Vida de los servidores de la RAPE fomentando una armonía personal, laboral y familiar entre los funcionarios de la entidad"/>
    <x v="215"/>
    <x v="132"/>
    <s v="Salud Ocupacional"/>
    <x v="0"/>
    <x v="4"/>
    <x v="6"/>
    <n v="1"/>
    <d v="2017-11-01T00:00:00"/>
    <d v="2017-12-15T00:00:00"/>
    <x v="3"/>
    <m/>
    <m/>
    <n v="11500000"/>
    <s v="Natalia Naranjo"/>
    <n v="2"/>
    <x v="9"/>
    <n v="2017"/>
    <x v="3"/>
  </r>
  <r>
    <x v="192"/>
    <x v="6"/>
    <s v="Dar cumplimiento a la normatividad en cuanto a ingreso, permanencia y retiro de los servidores"/>
    <x v="216"/>
    <x v="115"/>
    <s v="Salud Ocupacional"/>
    <x v="0"/>
    <x v="4"/>
    <x v="3"/>
    <n v="10"/>
    <d v="2017-07-15T00:00:00"/>
    <d v="2017-08-01T00:00:00"/>
    <x v="3"/>
    <s v="CONTRATADO: SERVICIOS DE EVENTOS Y VENTAS CON TECNOLOGÍA S.A.S. – SERVENTEC S.A.S._x000a_CTO 073-17 5 MESES"/>
    <n v="2000000"/>
    <n v="0"/>
    <m/>
    <n v="15"/>
    <x v="7"/>
    <n v="2017"/>
    <x v="0"/>
  </r>
  <r>
    <x v="193"/>
    <x v="6"/>
    <s v="Contribuir al mejoramiento de la Calidad de Vida de los servidores de la RAPE fomentando una armonía personal, laboral y familiar entre los funcionarios de la entidad"/>
    <x v="217"/>
    <x v="133"/>
    <s v="Salud Ocupacional"/>
    <x v="0"/>
    <x v="0"/>
    <x v="3"/>
    <n v="2"/>
    <d v="2017-11-01T00:00:00"/>
    <d v="2017-12-01T00:00:00"/>
    <x v="3"/>
    <s v="CONTRATADO: CPR EMERGENCIAS S.A.S. CTO 113-17"/>
    <n v="5100000"/>
    <n v="0"/>
    <s v="Natalia Naranjo"/>
    <n v="22"/>
    <x v="10"/>
    <n v="2017"/>
    <x v="0"/>
  </r>
  <r>
    <x v="194"/>
    <x v="6"/>
    <s v="Contar con la infraestructura física requerida por la entidad y realizar el control y seguimiento a los bienes y servicios de la entidad"/>
    <x v="218"/>
    <x v="52"/>
    <s v="Comunicación y Transporte"/>
    <x v="0"/>
    <x v="3"/>
    <x v="3"/>
    <n v="2"/>
    <d v="2017-02-15T00:00:00"/>
    <d v="2017-03-01T00:00:00"/>
    <x v="3"/>
    <s v="Se crea en la versión 2 por solicitud de la Dirección Corporativa_x000a_CONTRATADO PLATINO VIP 15/02/2017"/>
    <n v="7000000"/>
    <n v="0"/>
    <m/>
    <n v="15"/>
    <x v="0"/>
    <n v="2017"/>
    <x v="0"/>
  </r>
  <r>
    <x v="195"/>
    <x v="6"/>
    <s v="Contar con la infraestructura física requerida por la entidad y realizar el control y seguimiento a los bienes y servicios de la entidad"/>
    <x v="219"/>
    <x v="1"/>
    <s v="N/A"/>
    <x v="1"/>
    <x v="1"/>
    <x v="3"/>
    <n v="12"/>
    <d v="2017-02-27T00:00:00"/>
    <d v="2017-03-15T00:00:00"/>
    <x v="3"/>
    <s v="CONTRATADO: ADICIÓN AL CONTRATO JARGU _x000a_Se crea en la versión 2 por solicitud de la Dirección Corporativa"/>
    <n v="0"/>
    <n v="0"/>
    <m/>
    <n v="27"/>
    <x v="0"/>
    <n v="2017"/>
    <x v="0"/>
  </r>
  <r>
    <x v="196"/>
    <x v="6"/>
    <s v="Contar con la infraestructura física requerida por la entidad y realizar el control y seguimiento a los bienes y servicios de la entidad"/>
    <x v="220"/>
    <x v="134"/>
    <s v="Comunicación y Transporte"/>
    <x v="0"/>
    <x v="3"/>
    <x v="3"/>
    <n v="1"/>
    <d v="2017-03-21T00:00:00"/>
    <d v="2017-03-23T00:00:00"/>
    <x v="3"/>
    <s v="Adición realizada el acontrato 024-2016_x000a_Se crea en la versión 4 por solicitud de la Dirección Corporativa"/>
    <n v="1218359"/>
    <n v="0"/>
    <m/>
    <n v="21"/>
    <x v="5"/>
    <n v="2017"/>
    <x v="0"/>
  </r>
  <r>
    <x v="197"/>
    <x v="7"/>
    <s v="Conservar y restaurar áreas de importancia ecosistemica - Fomentar el uso sostenible del suelo importancia ecosistémica"/>
    <x v="221"/>
    <x v="135"/>
    <s v="BPIN 2016000050012"/>
    <x v="2"/>
    <x v="2"/>
    <x v="3"/>
    <n v="18"/>
    <d v="2017-10-15T00:00:00"/>
    <d v="2018-01-15T00:00:00"/>
    <x v="0"/>
    <m/>
    <m/>
    <n v="23775081682"/>
    <m/>
    <m/>
    <x v="1"/>
    <m/>
    <x v="3"/>
  </r>
  <r>
    <x v="198"/>
    <x v="7"/>
    <s v="Conservar y restaurar áreas de importancia ecosistemica - Fomentar el uso sostenible del suelo importancia ecosistémica"/>
    <x v="222"/>
    <x v="136"/>
    <s v="BPIN 2016000050012"/>
    <x v="2"/>
    <x v="7"/>
    <x v="3"/>
    <n v="4"/>
    <d v="2018-11-01T00:00:00"/>
    <d v="2017-12-15T00:00:00"/>
    <x v="0"/>
    <m/>
    <m/>
    <n v="103103690"/>
    <m/>
    <m/>
    <x v="1"/>
    <m/>
    <x v="3"/>
  </r>
  <r>
    <x v="199"/>
    <x v="7"/>
    <s v="Conservar y restaurar áreas de importancia ecosistemica - Fomentar el uso sostenible del suelo importancia ecosistémica"/>
    <x v="223"/>
    <x v="137"/>
    <s v="BPIN 2016000050012"/>
    <x v="2"/>
    <x v="0"/>
    <x v="0"/>
    <n v="24"/>
    <d v="2017-09-29T00:00:00"/>
    <d v="2017-10-18T00:00:00"/>
    <x v="0"/>
    <s v="CONTRATADO: MARCO TULIO AREVALO CTO 010RG-17_x000a_12 MESES X 8 MILLONES"/>
    <n v="96000000"/>
    <n v="96000000"/>
    <m/>
    <m/>
    <x v="1"/>
    <m/>
    <x v="5"/>
  </r>
  <r>
    <x v="200"/>
    <x v="7"/>
    <s v="Conservar y restaurar áreas de importancia ecosistemica - Fomentar el uso sostenible del suelo importancia ecosistémica"/>
    <x v="224"/>
    <x v="138"/>
    <s v="BPIN 2016000050012"/>
    <x v="2"/>
    <x v="0"/>
    <x v="0"/>
    <n v="24"/>
    <d v="2017-09-29T00:00:00"/>
    <d v="2017-10-17T00:00:00"/>
    <x v="0"/>
    <s v="CONTRATADO: CIRO ABSALON OCHOA JIMENEZ CTO 006RG-17_x000a_3 MESES X 6 MILLONES"/>
    <n v="18000000"/>
    <n v="126000000"/>
    <m/>
    <m/>
    <x v="1"/>
    <m/>
    <x v="5"/>
  </r>
  <r>
    <x v="201"/>
    <x v="7"/>
    <s v="Conservar y restaurar áreas de importancia ecosistemica - Fomentar el uso sostenible del suelo importancia ecosistémica"/>
    <x v="224"/>
    <x v="138"/>
    <s v="BPIN 2016000050012"/>
    <x v="2"/>
    <x v="0"/>
    <x v="0"/>
    <n v="24"/>
    <d v="2017-09-29T00:00:00"/>
    <d v="2017-10-17T00:00:00"/>
    <x v="0"/>
    <s v="CONTRATADO: CARLOS ALBERTO HERNÁNDEZ CTO 007RG-17_x000a_3 MESES X 6 MILLONES"/>
    <n v="18000000"/>
    <n v="126000000"/>
    <m/>
    <m/>
    <x v="1"/>
    <m/>
    <x v="5"/>
  </r>
  <r>
    <x v="202"/>
    <x v="7"/>
    <s v="Conservar y restaurar áreas de importancia ecosistemica - Fomentar el uso sostenible del suelo importancia ecosistémica"/>
    <x v="224"/>
    <x v="138"/>
    <s v="BPIN 2016000050012"/>
    <x v="2"/>
    <x v="0"/>
    <x v="0"/>
    <n v="24"/>
    <d v="2017-09-29T00:00:00"/>
    <d v="2017-10-20T00:00:00"/>
    <x v="0"/>
    <s v="CONTRATADO: ANGELINO TOVAR CTO 018RG-17_x000a_3 MESES X 6 MILLONES"/>
    <n v="18000000"/>
    <n v="126000000"/>
    <m/>
    <m/>
    <x v="1"/>
    <m/>
    <x v="5"/>
  </r>
  <r>
    <x v="203"/>
    <x v="7"/>
    <s v="Conservar y restaurar áreas de importancia ecosistemica - Fomentar el uso sostenible del suelo importancia ecosistémica"/>
    <x v="224"/>
    <x v="138"/>
    <s v="BPIN 2016000050012"/>
    <x v="2"/>
    <x v="0"/>
    <x v="0"/>
    <n v="24"/>
    <d v="2017-09-29T00:00:00"/>
    <d v="2017-10-20T00:00:00"/>
    <x v="0"/>
    <s v="CONTRATADO: BLANCA LILIA GONZALEZ CTO 028RG-17_x000a_3 MESES X 6 MILLONES"/>
    <n v="18000000"/>
    <n v="126000000"/>
    <m/>
    <m/>
    <x v="1"/>
    <m/>
    <x v="5"/>
  </r>
  <r>
    <x v="204"/>
    <x v="7"/>
    <s v="Conservar y restaurar áreas de importancia ecosistemica - Fomentar el uso sostenible del suelo importancia ecosistémica"/>
    <x v="225"/>
    <x v="138"/>
    <s v="BPIN 2016000050012"/>
    <x v="2"/>
    <x v="0"/>
    <x v="0"/>
    <n v="24"/>
    <d v="2017-09-29T00:00:00"/>
    <d v="2017-10-26T00:00:00"/>
    <x v="0"/>
    <m/>
    <m/>
    <n v="144000000"/>
    <m/>
    <m/>
    <x v="1"/>
    <m/>
    <x v="3"/>
  </r>
  <r>
    <x v="205"/>
    <x v="7"/>
    <s v="Conservar y restaurar áreas de importancia ecosistemica - Fomentar el uso sostenible del suelo importancia ecosistémica"/>
    <x v="226"/>
    <x v="139"/>
    <s v="BPIN 2016000050012"/>
    <x v="2"/>
    <x v="0"/>
    <x v="0"/>
    <n v="24"/>
    <d v="2017-09-29T00:00:00"/>
    <d v="2017-11-18T00:00:00"/>
    <x v="0"/>
    <s v="CONTRATADO: DIANA CAROLINA GUIASCA CTO 008RG-2017_x000a_6 MESES X 5 MILLONES"/>
    <n v="30000000"/>
    <n v="90000000"/>
    <m/>
    <m/>
    <x v="1"/>
    <m/>
    <x v="5"/>
  </r>
  <r>
    <x v="206"/>
    <x v="7"/>
    <s v="Conservar y restaurar áreas de importancia ecosistemica - Fomentar el uso sostenible del suelo importancia ecosistémica"/>
    <x v="226"/>
    <x v="139"/>
    <s v="BPIN 2016000050012"/>
    <x v="2"/>
    <x v="0"/>
    <x v="0"/>
    <n v="24"/>
    <d v="2017-09-29T00:00:00"/>
    <d v="2017-11-18T00:00:00"/>
    <x v="0"/>
    <s v="CONTRATADO: SANTIAGO ANDRÉS SIERRA CTO 009RG-2017_x000a_6 MESES X 5 MILLONES"/>
    <n v="30000000"/>
    <n v="90000000"/>
    <m/>
    <m/>
    <x v="1"/>
    <m/>
    <x v="5"/>
  </r>
  <r>
    <x v="207"/>
    <x v="7"/>
    <s v="Establecer mecanismos de articulación, coordinación y gestión socioambiental entre actores públicos y privados"/>
    <x v="226"/>
    <x v="139"/>
    <s v="BPIN 2016000050012"/>
    <x v="2"/>
    <x v="0"/>
    <x v="0"/>
    <n v="24"/>
    <d v="2017-09-29T00:00:00"/>
    <d v="2017-11-18T00:00:00"/>
    <x v="0"/>
    <s v="CONTRATADO: ERIKA ELIANA AMAYA CTO 011RG-2017_x000a_6 MESES X 5 MILLONES"/>
    <n v="30000000"/>
    <n v="90000000"/>
    <m/>
    <m/>
    <x v="1"/>
    <m/>
    <x v="5"/>
  </r>
  <r>
    <x v="208"/>
    <x v="7"/>
    <s v="Establecer mecanismos de articulación, coordinación y gestión socioambiental entre actores públicos y privados"/>
    <x v="226"/>
    <x v="139"/>
    <s v="BPIN 2016000050012"/>
    <x v="2"/>
    <x v="0"/>
    <x v="0"/>
    <n v="24"/>
    <d v="2017-09-29T00:00:00"/>
    <d v="2017-11-17T00:00:00"/>
    <x v="0"/>
    <s v="CONTRATADO: MAYERLY ANGELICA MOSCOTE CTO 012RG-2017_x000a_6 MESES X 5 MILLONES"/>
    <n v="30000000"/>
    <n v="90000000"/>
    <m/>
    <m/>
    <x v="1"/>
    <m/>
    <x v="5"/>
  </r>
  <r>
    <x v="209"/>
    <x v="7"/>
    <s v="Establecer mecanismos de articulación, coordinación y gestión socioambiental entre actores públicos y privados"/>
    <x v="226"/>
    <x v="139"/>
    <s v="BPIN 2016000050012"/>
    <x v="2"/>
    <x v="0"/>
    <x v="0"/>
    <n v="24"/>
    <d v="2017-09-29T00:00:00"/>
    <d v="2017-11-18T00:00:00"/>
    <x v="0"/>
    <s v="CONTRATADO: GLORIA FERNANDA BAEZ CTO 013RG-2017_x000a_6 MESES X 5 MILLONES"/>
    <n v="30000000"/>
    <n v="90000000"/>
    <m/>
    <m/>
    <x v="1"/>
    <m/>
    <x v="5"/>
  </r>
  <r>
    <x v="210"/>
    <x v="7"/>
    <s v="Establecer mecanismos de articulación, coordinación y gestión socioambiental entre actores públicos y privados"/>
    <x v="226"/>
    <x v="139"/>
    <s v="BPIN 2016000050012"/>
    <x v="2"/>
    <x v="0"/>
    <x v="0"/>
    <n v="24"/>
    <d v="2017-09-29T00:00:00"/>
    <d v="2017-10-27T00:00:00"/>
    <x v="0"/>
    <s v="CONTRATADO: RAQUEL SOFIA BLANCO CTO 014RG-2017_x000a_6 MESES X 5 MILLONES"/>
    <n v="30000000"/>
    <n v="90000000"/>
    <m/>
    <m/>
    <x v="1"/>
    <m/>
    <x v="5"/>
  </r>
  <r>
    <x v="211"/>
    <x v="7"/>
    <s v="Establecer mecanismos de articulación, coordinación y gestión socioambiental entre actores públicos y privados"/>
    <x v="226"/>
    <x v="139"/>
    <s v="BPIN 2016000050012"/>
    <x v="2"/>
    <x v="0"/>
    <x v="0"/>
    <n v="24"/>
    <d v="2017-09-29T00:00:00"/>
    <d v="2017-10-18T00:00:00"/>
    <x v="0"/>
    <s v="CONTRATADO: DORIS NEIRA SANDOVAL CTO 015RG-2017_x000a_6 MESES X 5 MILLONES"/>
    <n v="30000000"/>
    <n v="90000000"/>
    <m/>
    <m/>
    <x v="1"/>
    <m/>
    <x v="5"/>
  </r>
  <r>
    <x v="212"/>
    <x v="7"/>
    <s v="Establecer mecanismos de articulación, coordinación y gestión socioambiental entre actores públicos y privados"/>
    <x v="226"/>
    <x v="139"/>
    <s v="BPIN 2016000050012"/>
    <x v="2"/>
    <x v="0"/>
    <x v="0"/>
    <n v="24"/>
    <d v="2017-09-29T00:00:00"/>
    <d v="2017-10-18T00:00:00"/>
    <x v="0"/>
    <s v="CONTRATADO: ANA MARIA CABALLERO RAMOS CTO 016RG-2017_x000a_6 MESES X 5 MILLONES"/>
    <n v="30000000"/>
    <n v="90000000"/>
    <m/>
    <m/>
    <x v="1"/>
    <m/>
    <x v="5"/>
  </r>
  <r>
    <x v="213"/>
    <x v="7"/>
    <s v="Establecer mecanismos de articulación, coordinación y gestión socioambiental entre actores públicos y privados"/>
    <x v="226"/>
    <x v="139"/>
    <s v="BPIN 2016000050012"/>
    <x v="2"/>
    <x v="0"/>
    <x v="0"/>
    <n v="24"/>
    <d v="2017-09-29T00:00:00"/>
    <d v="2017-11-22T00:00:00"/>
    <x v="0"/>
    <s v="CONTRATADO: ANA MARIA PEÑUELA NARVAEZ CTO 017RG-2017_x000a_6 MESES X 5 MILLONES"/>
    <n v="30000000"/>
    <n v="90000000"/>
    <m/>
    <m/>
    <x v="1"/>
    <m/>
    <x v="5"/>
  </r>
  <r>
    <x v="214"/>
    <x v="7"/>
    <s v="Establecer mecanismos de articulación, coordinación y gestión socioambiental entre actores públicos y privados"/>
    <x v="226"/>
    <x v="139"/>
    <s v="BPIN 2016000050012"/>
    <x v="2"/>
    <x v="0"/>
    <x v="0"/>
    <n v="24"/>
    <d v="2017-09-29T00:00:00"/>
    <d v="2017-10-18T00:00:00"/>
    <x v="0"/>
    <s v="CONTRATADO: MAYRA MELO QUIROGA CTO 019RG-2017_x000a_6 MESES X 5 MILLONES"/>
    <n v="30000000"/>
    <n v="90000000"/>
    <m/>
    <m/>
    <x v="1"/>
    <m/>
    <x v="5"/>
  </r>
  <r>
    <x v="215"/>
    <x v="7"/>
    <s v="Establecer mecanismos de articulación, coordinación y gestión socioambiental entre actores públicos y privados"/>
    <x v="226"/>
    <x v="139"/>
    <s v="BPIN 2016000050012"/>
    <x v="2"/>
    <x v="0"/>
    <x v="0"/>
    <n v="24"/>
    <d v="2017-09-29T00:00:00"/>
    <d v="2017-10-20T00:00:00"/>
    <x v="0"/>
    <s v="CONTRATADO: GISELA ASTRID LOPEZ CTO 020RG-2017_x000a_6 MESES X 5 MILLONES"/>
    <n v="30000000"/>
    <n v="90000000"/>
    <m/>
    <m/>
    <x v="1"/>
    <m/>
    <x v="5"/>
  </r>
  <r>
    <x v="216"/>
    <x v="7"/>
    <s v="Establecer mecanismos de articulación, coordinación y gestión socioambiental entre actores públicos y privados"/>
    <x v="226"/>
    <x v="139"/>
    <s v="BPIN 2016000050012"/>
    <x v="2"/>
    <x v="0"/>
    <x v="0"/>
    <n v="24"/>
    <d v="2017-09-29T00:00:00"/>
    <d v="2017-10-18T00:00:00"/>
    <x v="0"/>
    <s v="CONTRATADO: JAIR EDUARDO RUIZ CTO 021RG-2017_x000a_6 MESES X 5 MILLONES"/>
    <n v="30000000"/>
    <n v="90000000"/>
    <m/>
    <m/>
    <x v="1"/>
    <m/>
    <x v="5"/>
  </r>
  <r>
    <x v="217"/>
    <x v="7"/>
    <s v="Establecer mecanismos de articulación, coordinación y gestión socioambiental entre actores públicos y privados"/>
    <x v="226"/>
    <x v="139"/>
    <s v="BPIN 2016000050012"/>
    <x v="2"/>
    <x v="0"/>
    <x v="0"/>
    <n v="24"/>
    <d v="2017-09-29T00:00:00"/>
    <d v="2017-10-18T00:00:00"/>
    <x v="0"/>
    <s v="CONTRATADO: ANDRES DARIO SALAZAR CTO 022RG-2017_x000a_6 MESES X 5 MILLONES"/>
    <n v="30000000"/>
    <n v="90000000"/>
    <m/>
    <m/>
    <x v="1"/>
    <m/>
    <x v="5"/>
  </r>
  <r>
    <x v="218"/>
    <x v="7"/>
    <s v="Establecer mecanismos de articulación, coordinación y gestión socioambiental entre actores públicos y privados"/>
    <x v="226"/>
    <x v="139"/>
    <s v="BPIN 2016000050012"/>
    <x v="2"/>
    <x v="0"/>
    <x v="0"/>
    <n v="24"/>
    <d v="2017-09-29T00:00:00"/>
    <d v="2017-10-20T00:00:00"/>
    <x v="0"/>
    <s v="CONTRATADO: CAROLINA CIFUENTES CTO 023RG-2017_x000a_6 MESES X 5 MILLONES"/>
    <n v="30000000"/>
    <n v="90000000"/>
    <m/>
    <m/>
    <x v="1"/>
    <m/>
    <x v="5"/>
  </r>
  <r>
    <x v="219"/>
    <x v="7"/>
    <s v="Establecer mecanismos de articulación, coordinación y gestión socioambiental entre actores públicos y privados"/>
    <x v="226"/>
    <x v="139"/>
    <s v="BPIN 2016000050012"/>
    <x v="2"/>
    <x v="0"/>
    <x v="0"/>
    <n v="24"/>
    <d v="2017-09-29T00:00:00"/>
    <d v="2017-10-18T00:00:00"/>
    <x v="0"/>
    <s v="CONTRATADO: DIEGO FERNANDO CARDENAS CTO 024RG-2017_x000a_6 MESES X 5 MILLONES"/>
    <n v="30000000"/>
    <n v="90000000"/>
    <m/>
    <m/>
    <x v="1"/>
    <m/>
    <x v="5"/>
  </r>
  <r>
    <x v="220"/>
    <x v="7"/>
    <s v="Establecer mecanismos de articulación, coordinación y gestión socioambiental entre actores públicos y privados"/>
    <x v="226"/>
    <x v="139"/>
    <s v="BPIN 2016000050012"/>
    <x v="2"/>
    <x v="0"/>
    <x v="0"/>
    <n v="24"/>
    <d v="2017-09-29T00:00:00"/>
    <d v="2017-10-18T00:00:00"/>
    <x v="0"/>
    <s v="CONTRATADO: CESAR RENEN LOPEZ CTO 025RG-2017_x000a_6 MESES X 5 MILLONES"/>
    <n v="30000000"/>
    <n v="90000000"/>
    <m/>
    <m/>
    <x v="1"/>
    <m/>
    <x v="5"/>
  </r>
  <r>
    <x v="221"/>
    <x v="7"/>
    <s v="Establecer mecanismos de articulación, coordinación y gestión socioambiental entre actores públicos y privados"/>
    <x v="226"/>
    <x v="139"/>
    <s v="BPIN 2016000050012"/>
    <x v="2"/>
    <x v="0"/>
    <x v="0"/>
    <n v="24"/>
    <d v="2017-09-29T00:00:00"/>
    <d v="2017-10-20T00:00:00"/>
    <x v="0"/>
    <s v="CONTRATADO: HECTOR JOSÉ RIVERA CTO 026RG-2017_x000a_6 MESES X 5 MILLONES"/>
    <n v="30000000"/>
    <n v="90000000"/>
    <m/>
    <m/>
    <x v="1"/>
    <m/>
    <x v="5"/>
  </r>
  <r>
    <x v="222"/>
    <x v="7"/>
    <s v="Establecer mecanismos de articulación, coordinación y gestión socioambiental entre actores públicos y privados"/>
    <x v="226"/>
    <x v="139"/>
    <s v="BPIN 2016000050012"/>
    <x v="2"/>
    <x v="0"/>
    <x v="0"/>
    <n v="24"/>
    <d v="2017-09-29T00:00:00"/>
    <d v="2017-10-18T00:00:00"/>
    <x v="0"/>
    <s v="CONTRATADO: YISED SOCORRAS CTO 027RG-2017_x000a_6 MESES X 5 MILLONES"/>
    <n v="30000000"/>
    <n v="90000000"/>
    <m/>
    <m/>
    <x v="1"/>
    <m/>
    <x v="5"/>
  </r>
  <r>
    <x v="223"/>
    <x v="7"/>
    <s v="Establecer mecanismos de articulación, coordinación y gestión socioambiental entre actores públicos y privados"/>
    <x v="226"/>
    <x v="139"/>
    <s v="BPIN 2016000050012"/>
    <x v="2"/>
    <x v="0"/>
    <x v="0"/>
    <n v="24"/>
    <d v="2017-09-29T00:00:00"/>
    <d v="2017-10-18T00:00:00"/>
    <x v="0"/>
    <m/>
    <m/>
    <n v="120000000"/>
    <m/>
    <m/>
    <x v="1"/>
    <m/>
    <x v="3"/>
  </r>
  <r>
    <x v="224"/>
    <x v="7"/>
    <s v="Establecer mecanismos de articulación, coordinación y gestión socioambiental entre actores públicos y privados"/>
    <x v="226"/>
    <x v="139"/>
    <s v="BPIN 2016000050012"/>
    <x v="2"/>
    <x v="0"/>
    <x v="0"/>
    <n v="24"/>
    <d v="2017-09-29T00:00:00"/>
    <d v="2017-10-20T00:00:00"/>
    <x v="0"/>
    <m/>
    <m/>
    <n v="120000000"/>
    <m/>
    <m/>
    <x v="1"/>
    <m/>
    <x v="3"/>
  </r>
  <r>
    <x v="225"/>
    <x v="7"/>
    <s v="Establecer mecanismos de articulación, coordinación y gestión socioambiental entre actores públicos y privados"/>
    <x v="226"/>
    <x v="139"/>
    <s v="BPIN 2016000050012"/>
    <x v="2"/>
    <x v="0"/>
    <x v="0"/>
    <n v="24"/>
    <d v="2017-09-29T00:00:00"/>
    <d v="2017-10-20T00:00:00"/>
    <x v="0"/>
    <m/>
    <m/>
    <n v="120000000"/>
    <m/>
    <m/>
    <x v="1"/>
    <m/>
    <x v="3"/>
  </r>
  <r>
    <x v="226"/>
    <x v="7"/>
    <s v="Establecer mecanismos de articulación, coordinación y gestión socioambiental entre actores públicos y privados"/>
    <x v="226"/>
    <x v="139"/>
    <s v="BPIN 2016000050012"/>
    <x v="2"/>
    <x v="0"/>
    <x v="0"/>
    <n v="24"/>
    <d v="2017-09-29T00:00:00"/>
    <d v="2017-11-22T00:00:00"/>
    <x v="0"/>
    <m/>
    <m/>
    <n v="120000000"/>
    <m/>
    <m/>
    <x v="1"/>
    <m/>
    <x v="3"/>
  </r>
  <r>
    <x v="227"/>
    <x v="7"/>
    <s v="Establecer mecanismos de articulación, coordinación y gestión socioambiental entre actores públicos y privados"/>
    <x v="227"/>
    <x v="140"/>
    <s v="BPIN 2016000050012"/>
    <x v="2"/>
    <x v="2"/>
    <x v="3"/>
    <n v="6"/>
    <d v="2007-11-01T00:00:00"/>
    <d v="2018-01-15T00:00:00"/>
    <x v="0"/>
    <m/>
    <m/>
    <n v="287525638"/>
    <m/>
    <m/>
    <x v="1"/>
    <m/>
    <x v="3"/>
  </r>
  <r>
    <x v="228"/>
    <x v="7"/>
    <s v="Establecer mecanismos de articulación, coordinación y gestión socioambiental entre actores públicos y privados"/>
    <x v="228"/>
    <x v="141"/>
    <s v="BPIN 2016000050012"/>
    <x v="2"/>
    <x v="0"/>
    <x v="3"/>
    <n v="15"/>
    <d v="2007-11-01T00:00:00"/>
    <d v="2018-01-15T00:00:00"/>
    <x v="0"/>
    <m/>
    <m/>
    <n v="96000000"/>
    <m/>
    <m/>
    <x v="1"/>
    <m/>
    <x v="3"/>
  </r>
  <r>
    <x v="229"/>
    <x v="7"/>
    <s v="Establecer mecanismos de articulación, coordinación y gestión socioambiental entre actores públicos y privados"/>
    <x v="229"/>
    <x v="142"/>
    <s v="BPIN 2016000050012"/>
    <x v="2"/>
    <x v="0"/>
    <x v="3"/>
    <n v="12"/>
    <d v="2017-11-01T00:00:00"/>
    <d v="2017-10-20T00:00:00"/>
    <x v="0"/>
    <m/>
    <m/>
    <n v="72000000"/>
    <m/>
    <m/>
    <x v="1"/>
    <m/>
    <x v="5"/>
  </r>
  <r>
    <x v="230"/>
    <x v="7"/>
    <s v="Establecer mecanismos de articulación, coordinación y gestión socioambiental entre actores públicos y privados"/>
    <x v="230"/>
    <x v="143"/>
    <s v="BPIN 2016000050012"/>
    <x v="2"/>
    <x v="0"/>
    <x v="3"/>
    <n v="12"/>
    <d v="2018-02-01T00:00:00"/>
    <d v="2017-10-20T00:00:00"/>
    <x v="0"/>
    <m/>
    <m/>
    <n v="60000000"/>
    <m/>
    <m/>
    <x v="1"/>
    <m/>
    <x v="5"/>
  </r>
  <r>
    <x v="231"/>
    <x v="7"/>
    <s v="Establecer mecanismos de articulación, coordinación y gestión socioambiental entre actores públicos y privados"/>
    <x v="230"/>
    <x v="143"/>
    <s v="BPIN 2016000050012"/>
    <x v="2"/>
    <x v="0"/>
    <x v="3"/>
    <n v="12"/>
    <d v="2018-02-01T00:00:00"/>
    <d v="2018-02-15T00:00:00"/>
    <x v="0"/>
    <m/>
    <m/>
    <n v="60000000"/>
    <m/>
    <m/>
    <x v="1"/>
    <m/>
    <x v="3"/>
  </r>
  <r>
    <x v="232"/>
    <x v="7"/>
    <s v="Establecer mecanismos de articulación, coordinación y gestión socioambiental entre actores públicos y privados"/>
    <x v="230"/>
    <x v="143"/>
    <s v="BPIN 2016000050012"/>
    <x v="2"/>
    <x v="0"/>
    <x v="3"/>
    <n v="12"/>
    <d v="2018-02-01T00:00:00"/>
    <d v="2018-02-15T00:00:00"/>
    <x v="0"/>
    <m/>
    <m/>
    <n v="60000000"/>
    <m/>
    <m/>
    <x v="1"/>
    <m/>
    <x v="3"/>
  </r>
  <r>
    <x v="233"/>
    <x v="7"/>
    <s v="Conservar y restaurar áreas de importancia ecosistemica - Fomentar el uso sostenible del suelo importancia ecosistémica"/>
    <x v="230"/>
    <x v="143"/>
    <s v="BPIN 2016000050012"/>
    <x v="2"/>
    <x v="0"/>
    <x v="3"/>
    <n v="12"/>
    <d v="2018-02-01T00:00:00"/>
    <d v="2018-02-15T00:00:00"/>
    <x v="0"/>
    <m/>
    <m/>
    <n v="60000000"/>
    <m/>
    <m/>
    <x v="1"/>
    <m/>
    <x v="3"/>
  </r>
  <r>
    <x v="234"/>
    <x v="7"/>
    <s v="Conservar y restaurar áreas de importancia ecosistemica - Fomentar el uso sostenible del suelo importancia ecosistémica"/>
    <x v="230"/>
    <x v="143"/>
    <s v="BPIN 2016000050012"/>
    <x v="2"/>
    <x v="0"/>
    <x v="3"/>
    <n v="12"/>
    <d v="2018-02-01T00:00:00"/>
    <d v="2018-02-15T00:00:00"/>
    <x v="0"/>
    <m/>
    <m/>
    <n v="60000000"/>
    <m/>
    <m/>
    <x v="1"/>
    <m/>
    <x v="3"/>
  </r>
  <r>
    <x v="235"/>
    <x v="7"/>
    <s v="Conservar y restaurar áreas de importancia ecosistemica - Fomentar el uso sostenible del suelo importancia ecosistémica"/>
    <x v="231"/>
    <x v="144"/>
    <s v="BPIN 2016000050012"/>
    <x v="2"/>
    <x v="2"/>
    <x v="3"/>
    <n v="12"/>
    <d v="2017-11-01T00:00:00"/>
    <d v="2018-02-01T00:00:00"/>
    <x v="0"/>
    <m/>
    <m/>
    <n v="1035020006"/>
    <m/>
    <m/>
    <x v="1"/>
    <m/>
    <x v="3"/>
  </r>
  <r>
    <x v="236"/>
    <x v="7"/>
    <s v="Conservar y restaurar áreas de importancia ecosistemica - Fomentar el uso sostenible del suelo importancia ecosistémica"/>
    <x v="232"/>
    <x v="139"/>
    <s v="BPIN 2016000050012"/>
    <x v="2"/>
    <x v="0"/>
    <x v="0"/>
    <n v="24"/>
    <d v="2017-09-26T00:00:00"/>
    <d v="2017-10-04T00:00:00"/>
    <x v="0"/>
    <s v="CONTRATADO: ADRIANA SERLEY SANABRIA LENIS CTO 001-17 SG"/>
    <n v="15000000"/>
    <n v="105000000"/>
    <m/>
    <m/>
    <x v="1"/>
    <m/>
    <x v="5"/>
  </r>
  <r>
    <x v="237"/>
    <x v="7"/>
    <s v="Conservar y restaurar áreas de importancia ecosistemica - Fomentar el uso sostenible del suelo importancia ecosistémica"/>
    <x v="233"/>
    <x v="139"/>
    <s v="BPIN 2016000050012"/>
    <x v="2"/>
    <x v="0"/>
    <x v="0"/>
    <n v="24"/>
    <d v="2017-09-27T00:00:00"/>
    <d v="2017-10-04T00:00:00"/>
    <x v="0"/>
    <m/>
    <m/>
    <n v="120000000"/>
    <m/>
    <m/>
    <x v="1"/>
    <m/>
    <x v="3"/>
  </r>
  <r>
    <x v="238"/>
    <x v="7"/>
    <s v="Conservar y restaurar áreas de importancia ecosistemica - Fomentar el uso sostenible del suelo importancia ecosistémica"/>
    <x v="234"/>
    <x v="145"/>
    <s v="BPIN 2016000050012"/>
    <x v="2"/>
    <x v="0"/>
    <x v="0"/>
    <n v="24"/>
    <d v="2017-09-29T00:00:00"/>
    <d v="2017-10-04T00:00:00"/>
    <x v="0"/>
    <m/>
    <m/>
    <n v="43200000"/>
    <m/>
    <m/>
    <x v="1"/>
    <m/>
    <x v="3"/>
  </r>
  <r>
    <x v="239"/>
    <x v="7"/>
    <s v="Conservar y restaurar áreas de importancia ecosistemica - Fomentar el uso sostenible del suelo importancia ecosistémica"/>
    <x v="235"/>
    <x v="5"/>
    <s v="BPIN 2016000050012"/>
    <x v="2"/>
    <x v="0"/>
    <x v="0"/>
    <n v="24"/>
    <d v="2017-09-26T00:00:00"/>
    <d v="2017-10-09T00:00:00"/>
    <x v="0"/>
    <s v="CONTRATADO: RAÚL ANTONIO DIAZ ARENAS CTO 002RG-17 _x000a_3 MESES X 2 MILLONES"/>
    <n v="6000000"/>
    <n v="42000000"/>
    <m/>
    <m/>
    <x v="1"/>
    <m/>
    <x v="5"/>
  </r>
  <r>
    <x v="240"/>
    <x v="7"/>
    <s v="Conservar y restaurar áreas de importancia ecosistemica - Fomentar el uso sostenible del suelo importancia ecosistémica"/>
    <x v="235"/>
    <x v="5"/>
    <s v="BPIN 2016000050012"/>
    <x v="2"/>
    <x v="0"/>
    <x v="0"/>
    <n v="24"/>
    <d v="2017-09-26T00:00:00"/>
    <d v="2017-10-09T00:00:00"/>
    <x v="0"/>
    <s v="CONTRATADO: DANIEL GOMEZ PINZON CTO 003RG -17_x000a_3 MESES X 2 MILLONES "/>
    <n v="6000000"/>
    <n v="42000000"/>
    <m/>
    <m/>
    <x v="1"/>
    <m/>
    <x v="5"/>
  </r>
  <r>
    <x v="241"/>
    <x v="7"/>
    <s v="Conservar y restaurar áreas de importancia ecosistemica - Fomentar el uso sostenible del suelo importancia ecosistémica"/>
    <x v="235"/>
    <x v="5"/>
    <s v="BPIN 2016000050012"/>
    <x v="2"/>
    <x v="0"/>
    <x v="0"/>
    <n v="24"/>
    <d v="2017-09-26T00:00:00"/>
    <d v="2017-10-12T00:00:00"/>
    <x v="0"/>
    <s v="CONTRATADO: JOHANNA PAOLA GUASCA CARRANSA CTO 004RG -17_x000a_3 MESES X 2 MILLONES "/>
    <n v="6000000"/>
    <n v="42000000"/>
    <m/>
    <m/>
    <x v="1"/>
    <m/>
    <x v="5"/>
  </r>
  <r>
    <x v="242"/>
    <x v="7"/>
    <s v="Conservar y restaurar áreas de importancia ecosistemica - Fomentar el uso sostenible del suelo importancia ecosistémica"/>
    <x v="235"/>
    <x v="5"/>
    <s v="BPIN 2016000050012"/>
    <x v="2"/>
    <x v="0"/>
    <x v="0"/>
    <n v="24"/>
    <d v="2017-09-26T00:00:00"/>
    <d v="2017-10-13T00:00:00"/>
    <x v="0"/>
    <s v="CONTRATADO: LORENA JULIETH MIRANDA ROCHA CTO 005RG -17_x000a_3 MESES X 2 MILLONES "/>
    <n v="6000000"/>
    <n v="42000000"/>
    <m/>
    <m/>
    <x v="1"/>
    <m/>
    <x v="5"/>
  </r>
  <r>
    <x v="243"/>
    <x v="7"/>
    <s v="Conservar y restaurar áreas de importancia ecosistemica - Fomentar el uso sostenible del suelo importancia ecosistémica"/>
    <x v="236"/>
    <x v="145"/>
    <s v="BPIN 2016000050012"/>
    <x v="2"/>
    <x v="0"/>
    <x v="0"/>
    <n v="24"/>
    <d v="2017-09-29T00:00:00"/>
    <d v="2017-12-01T00:00:00"/>
    <x v="0"/>
    <m/>
    <m/>
    <n v="43200000"/>
    <m/>
    <m/>
    <x v="1"/>
    <m/>
    <x v="3"/>
  </r>
  <r>
    <x v="244"/>
    <x v="7"/>
    <s v="Conservar y restaurar áreas de importancia ecosistemica - Fomentar el uso sostenible del suelo importancia ecosistémica"/>
    <x v="237"/>
    <x v="143"/>
    <s v="BPIN 2016000050012"/>
    <x v="2"/>
    <x v="8"/>
    <x v="3"/>
    <n v="24"/>
    <d v="2017-09-26T00:00:00"/>
    <d v="2017-12-11T00:00:00"/>
    <x v="0"/>
    <m/>
    <m/>
    <n v="60000000"/>
    <m/>
    <m/>
    <x v="1"/>
    <m/>
    <x v="3"/>
  </r>
  <r>
    <x v="245"/>
    <x v="7"/>
    <s v="Conservar y restaurar áreas de importancia ecosistemica - Fomentar el uso sostenible del suelo importancia ecosistémica"/>
    <x v="238"/>
    <x v="139"/>
    <s v="BPIN 2016000050012"/>
    <x v="2"/>
    <x v="0"/>
    <x v="11"/>
    <n v="24"/>
    <d v="2017-09-26T00:00:00"/>
    <d v="2017-11-01T00:00:00"/>
    <x v="0"/>
    <m/>
    <m/>
    <n v="120000000"/>
    <m/>
    <m/>
    <x v="1"/>
    <m/>
    <x v="3"/>
  </r>
  <r>
    <x v="246"/>
    <x v="7"/>
    <s v="Conservar y restaurar áreas de importancia ecosistemica - Fomentar el uso sostenible del suelo importancia ecosistémica"/>
    <x v="239"/>
    <x v="146"/>
    <s v="BPIN 2016000050012"/>
    <x v="2"/>
    <x v="1"/>
    <x v="3"/>
    <n v="24"/>
    <d v="2017-09-26T00:00:00"/>
    <d v="2017-10-04T00:00:00"/>
    <x v="0"/>
    <m/>
    <m/>
    <n v="38400000"/>
    <m/>
    <m/>
    <x v="1"/>
    <m/>
    <x v="3"/>
  </r>
  <r>
    <x v="247"/>
    <x v="7"/>
    <s v="Conservar y restaurar áreas de importancia ecosistemica - Fomentar el uso sostenible del suelo importancia ecosistémica"/>
    <x v="205"/>
    <x v="147"/>
    <s v="BPIN 2016000050012"/>
    <x v="2"/>
    <x v="0"/>
    <x v="3"/>
    <n v="24"/>
    <d v="2017-09-26T00:00:00"/>
    <d v="2017-11-16T00:00:00"/>
    <x v="0"/>
    <m/>
    <m/>
    <n v="34914600"/>
    <m/>
    <m/>
    <x v="1"/>
    <m/>
    <x v="3"/>
  </r>
  <r>
    <x v="248"/>
    <x v="7"/>
    <s v="Conservar y restaurar áreas de importancia ecosistemica - Fomentar el uso sostenible del suelo importancia ecosistémica"/>
    <x v="240"/>
    <x v="148"/>
    <s v="BPIN 2016000050012"/>
    <x v="2"/>
    <x v="9"/>
    <x v="11"/>
    <n v="24"/>
    <d v="2017-10-02T00:00:00"/>
    <d v="2017-11-15T00:00:00"/>
    <x v="0"/>
    <m/>
    <m/>
    <n v="86622480"/>
    <m/>
    <m/>
    <x v="1"/>
    <m/>
    <x v="4"/>
  </r>
  <r>
    <x v="249"/>
    <x v="7"/>
    <s v="Conservar y restaurar áreas de importancia ecosistemica - Fomentar el uso sostenible del suelo importancia ecosistémica"/>
    <x v="241"/>
    <x v="56"/>
    <s v="BPIN 2016000050012"/>
    <x v="2"/>
    <x v="7"/>
    <x v="12"/>
    <n v="24"/>
    <d v="2017-10-02T00:00:00"/>
    <d v="2017-10-15T00:00:00"/>
    <x v="0"/>
    <m/>
    <m/>
    <n v="20000000"/>
    <m/>
    <m/>
    <x v="1"/>
    <m/>
    <x v="3"/>
  </r>
  <r>
    <x v="250"/>
    <x v="7"/>
    <s v="Conservar y restaurar áreas de importancia ecosistemica - Fomentar el uso sostenible del suelo importancia ecosistémica"/>
    <x v="242"/>
    <x v="41"/>
    <s v="BPIN 2016000050012"/>
    <x v="2"/>
    <x v="8"/>
    <x v="3"/>
    <n v="24"/>
    <d v="2017-10-02T00:00:00"/>
    <d v="2017-10-15T00:00:00"/>
    <x v="0"/>
    <m/>
    <m/>
    <n v="28000000"/>
    <m/>
    <m/>
    <x v="1"/>
    <m/>
    <x v="3"/>
  </r>
  <r>
    <x v="251"/>
    <x v="7"/>
    <s v="Conservar y restaurar áreas de importancia ecosistemica - Fomentar el uso sostenible del suelo importancia ecosistémica"/>
    <x v="195"/>
    <x v="149"/>
    <s v="BPIN 2016000050012"/>
    <x v="2"/>
    <x v="8"/>
    <x v="12"/>
    <n v="24"/>
    <d v="2017-10-02T00:00:00"/>
    <d v="2017-10-15T00:00:00"/>
    <x v="0"/>
    <m/>
    <m/>
    <n v="52800000"/>
    <m/>
    <m/>
    <x v="1"/>
    <m/>
    <x v="3"/>
  </r>
  <r>
    <x v="252"/>
    <x v="7"/>
    <s v="Conservar y restaurar áreas de importancia ecosistemica - Fomentar el uso sostenible del suelo importancia ecosistémica"/>
    <x v="12"/>
    <x v="150"/>
    <s v="BPIN 2016000050012"/>
    <x v="2"/>
    <x v="1"/>
    <x v="1"/>
    <n v="24"/>
    <d v="2017-09-26T00:00:00"/>
    <d v="2017-10-04T00:00:00"/>
    <x v="0"/>
    <m/>
    <m/>
    <n v="375006986"/>
    <m/>
    <m/>
    <x v="1"/>
    <m/>
    <x v="3"/>
  </r>
  <r>
    <x v="253"/>
    <x v="7"/>
    <s v="Conservar y restaurar áreas de importancia ecosistemica - Fomentar el uso sostenible del suelo importancia ecosistémica"/>
    <x v="243"/>
    <x v="151"/>
    <s v="BPIN 2016000050012"/>
    <x v="2"/>
    <x v="2"/>
    <x v="11"/>
    <n v="24"/>
    <d v="2017-09-28T00:00:00"/>
    <d v="2017-11-15T00:00:00"/>
    <x v="0"/>
    <m/>
    <m/>
    <n v="265190000"/>
    <m/>
    <m/>
    <x v="1"/>
    <m/>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0">
  <r>
    <x v="0"/>
    <x v="0"/>
    <s v="1 acción de cambio climático formulada, cofinanciada y en implementación"/>
    <x v="0"/>
    <x v="0"/>
    <s v="Sustentabilidad ecosistémica y manejo de riesgos"/>
    <x v="0"/>
    <x v="0"/>
    <x v="0"/>
    <n v="6"/>
    <d v="2017-02-15T00:00:00"/>
    <d v="2017-03-15T00:00:00"/>
    <x v="0"/>
    <s v="CONTRATADO: FRANCISCO CANAL_x000a_6 MESES X 8 MILLONES Valor ejecutado de $48 millones terminación anticipada"/>
    <n v="31753333"/>
    <x v="0"/>
    <m/>
    <n v="15"/>
    <n v="2"/>
    <n v="2017"/>
    <x v="0"/>
  </r>
  <r>
    <x v="1"/>
    <x v="0"/>
    <s v="Implementar un  modelo de compensación por servicios ambientales, asociado al cuidado del recurso hídrico"/>
    <x v="1"/>
    <x v="1"/>
    <s v="Sustentabilidad ecosistémica y manejo de riesgos"/>
    <x v="1"/>
    <x v="1"/>
    <x v="1"/>
    <s v="N/A"/>
    <m/>
    <m/>
    <x v="0"/>
    <s v="Se suprime este proceso por solicitud de la Dirección Técnica en la Versión 4"/>
    <m/>
    <x v="0"/>
    <m/>
    <m/>
    <m/>
    <m/>
    <x v="1"/>
  </r>
  <r>
    <x v="2"/>
    <x v="0"/>
    <s v="1 acción de cambio climático formulada, cofinanciada y en implementación"/>
    <x v="2"/>
    <x v="1"/>
    <s v="Sustentabilidad ecosistémica y manejo de riesgos"/>
    <x v="1"/>
    <x v="1"/>
    <x v="1"/>
    <s v="N/A"/>
    <m/>
    <m/>
    <x v="0"/>
    <s v="Se modifica en la versión 4 por solicitud de la Dirección Técnica_x000a_Se elimina en la versión 8  por solicitud de la Dirección Técnica"/>
    <m/>
    <x v="0"/>
    <m/>
    <m/>
    <m/>
    <m/>
    <x v="1"/>
  </r>
  <r>
    <x v="3"/>
    <x v="0"/>
    <s v="1 acción de cambio climático formulada, cofinanciada y en implementación"/>
    <x v="3"/>
    <x v="2"/>
    <s v="Sustentabilidad ecosistémica y manejo de riesgos"/>
    <x v="0"/>
    <x v="0"/>
    <x v="0"/>
    <n v="11"/>
    <d v="2017-01-16T00:00:00"/>
    <d v="2017-02-13T00:00:00"/>
    <x v="0"/>
    <s v="CONTRATADO: CATALINA RODRÍGUEZ_x000a_8 MESES X 5`5 MILLONES_x000a_Se modifica en la versión 2 por solicitud de la Dirección Técnica"/>
    <n v="44000000"/>
    <x v="0"/>
    <m/>
    <n v="16"/>
    <n v="1"/>
    <n v="2017"/>
    <x v="0"/>
  </r>
  <r>
    <x v="4"/>
    <x v="0"/>
    <s v="1  Proyecto regional de voluntariado de guardapáramos estructurado"/>
    <x v="4"/>
    <x v="1"/>
    <s v="Sustentabilidad ecosistémica y manejo de riesgos"/>
    <x v="1"/>
    <x v="1"/>
    <x v="1"/>
    <s v="N/A"/>
    <m/>
    <m/>
    <x v="0"/>
    <s v="Se modifica en la versión 4 por solicitud de la Dirección Técnica_x000a_Se elimina en la versión 8  por solicitud de la Dirección Técnica"/>
    <m/>
    <x v="0"/>
    <m/>
    <m/>
    <m/>
    <m/>
    <x v="1"/>
  </r>
  <r>
    <x v="5"/>
    <x v="0"/>
    <s v="1  Proyecto regional de voluntariado de guardapáramos estructurado"/>
    <x v="5"/>
    <x v="3"/>
    <s v="Sustentabilidad ecosistémica y manejo de riesgos"/>
    <x v="0"/>
    <x v="0"/>
    <x v="0"/>
    <n v="3"/>
    <d v="2017-02-01T00:00:00"/>
    <d v="2017-02-13T00:00:00"/>
    <x v="0"/>
    <s v="CONTRATADO: NELSON SOLER_x000a_3 MESES X 5,5 MILLONES"/>
    <n v="16500000"/>
    <x v="0"/>
    <m/>
    <n v="1"/>
    <n v="2"/>
    <n v="2017"/>
    <x v="0"/>
  </r>
  <r>
    <x v="6"/>
    <x v="0"/>
    <s v="1 acción de cambio climático formulada, cofinanciada y en implementación"/>
    <x v="6"/>
    <x v="4"/>
    <s v="Sustentabilidad ecosistémica y manejo de riesgos"/>
    <x v="0"/>
    <x v="0"/>
    <x v="0"/>
    <n v="6"/>
    <d v="2017-02-06T00:00:00"/>
    <d v="2017-02-13T00:00:00"/>
    <x v="0"/>
    <s v="CONTRATADO: MÓNICA GUEVARA_x000a_6 MESES X 5 MILLONES_x000a_Se modifica en la versión 2 por solicitud de la Dirección Técnica"/>
    <n v="30000000"/>
    <x v="0"/>
    <m/>
    <n v="6"/>
    <n v="2"/>
    <n v="2017"/>
    <x v="0"/>
  </r>
  <r>
    <x v="7"/>
    <x v="0"/>
    <s v="1  Proyecto regional de voluntariado de guardapáramos estructurado"/>
    <x v="7"/>
    <x v="5"/>
    <s v="Sustentabilidad ecosistémica y manejo de riesgos"/>
    <x v="0"/>
    <x v="0"/>
    <x v="0"/>
    <n v="8"/>
    <d v="2017-02-06T00:00:00"/>
    <d v="2017-02-13T00:00:00"/>
    <x v="0"/>
    <s v="CONTRATADO: LUIS ALEXANDER FAJARDO_x000a_8 MESES X 6 MILLONES_x000a_Se modifica en la versión 2 por solicitud de la Dirección Técnica"/>
    <n v="48000000"/>
    <x v="0"/>
    <m/>
    <n v="6"/>
    <n v="2"/>
    <n v="2017"/>
    <x v="0"/>
  </r>
  <r>
    <x v="8"/>
    <x v="0"/>
    <s v="1 acción de cambio climático formulada, cofinanciada y en implementación"/>
    <x v="8"/>
    <x v="6"/>
    <s v="Sustentabilidad ecosistémica y manejo de riesgos"/>
    <x v="0"/>
    <x v="0"/>
    <x v="0"/>
    <n v="6"/>
    <d v="2017-04-10T00:00:00"/>
    <d v="2017-04-17T00:00:00"/>
    <x v="0"/>
    <s v="CONTRATADO: JENNY ALEJANDRA RODRÍGUEZ BERMUDEZ_x000a_Se suprimió este proceso por solicitud de la Dirección Técnica en la Versión 2 y se modificó en la versión 4 por solicitud de la Dirección Técnica"/>
    <n v="23608000"/>
    <x v="0"/>
    <m/>
    <n v="10"/>
    <n v="4"/>
    <n v="2017"/>
    <x v="0"/>
  </r>
  <r>
    <x v="8"/>
    <x v="0"/>
    <s v="1 acción de cambio climático formulada, cofinanciada y en implementación"/>
    <x v="9"/>
    <x v="7"/>
    <s v="Sustentabilidad ecosistémica y manejo de riesgos"/>
    <x v="0"/>
    <x v="0"/>
    <x v="0"/>
    <s v="1 mes 18 días"/>
    <d v="2017-11-11T00:00:00"/>
    <d v="2017-11-13T00:00:00"/>
    <x v="0"/>
    <s v="CONTRATADO: JENNY ALEJANDRA RODRÍGUEZ BERMUDEZ"/>
    <n v="4721600"/>
    <x v="0"/>
    <m/>
    <n v="11"/>
    <n v="11"/>
    <n v="2017"/>
    <x v="0"/>
  </r>
  <r>
    <x v="9"/>
    <x v="0"/>
    <s v="1 acción de cambio climático formulada, cofinanciada y en implementación"/>
    <x v="8"/>
    <x v="6"/>
    <s v="Sustentabilidad ecosistémica y manejo de riesgos"/>
    <x v="0"/>
    <x v="0"/>
    <x v="0"/>
    <n v="6"/>
    <d v="2017-04-10T00:00:00"/>
    <d v="2017-04-17T00:00:00"/>
    <x v="0"/>
    <s v="CONTRATADO: YULY TATIANA SILVA ESPINEL_x000a_Se suprimió este proceso por solicitud de la Dirección Técnica en la Versión 2 y se modificó en la versión 4 por solicitud de la Dirección Técnica"/>
    <n v="23608000"/>
    <x v="0"/>
    <m/>
    <n v="10"/>
    <n v="4"/>
    <n v="2017"/>
    <x v="0"/>
  </r>
  <r>
    <x v="9"/>
    <x v="0"/>
    <s v="1 acción de cambio climático formulada, cofinanciada y en implementación"/>
    <x v="10"/>
    <x v="7"/>
    <s v="Sustentabilidad ecosistémica y manejo de riesgos"/>
    <x v="0"/>
    <x v="0"/>
    <x v="0"/>
    <s v="1 mes 18 días"/>
    <d v="2017-11-11T00:00:00"/>
    <d v="2017-11-13T00:00:00"/>
    <x v="0"/>
    <s v="CONTRATADO: YULY TATIANA SILVA ESPINEL"/>
    <n v="4721600"/>
    <x v="0"/>
    <m/>
    <n v="11"/>
    <n v="11"/>
    <n v="2017"/>
    <x v="0"/>
  </r>
  <r>
    <x v="10"/>
    <x v="0"/>
    <s v="1 acción de cambio climático formulada, cofinanciada y en implementación"/>
    <x v="11"/>
    <x v="5"/>
    <s v="Sustentabilidad ecosistémica y manejo de riesgos"/>
    <x v="0"/>
    <x v="0"/>
    <x v="0"/>
    <n v="9"/>
    <d v="2017-02-01T00:00:00"/>
    <d v="2017-02-13T00:00:00"/>
    <x v="0"/>
    <s v="CONTRATADO: JULIO PULIDO_x000a_6 MESES X 8 MILLONES_x000a_Se modifica en las versiones 2 y 4 por solicitud de la Dirección Técnica"/>
    <n v="48000000"/>
    <x v="0"/>
    <m/>
    <n v="1"/>
    <n v="2"/>
    <n v="2017"/>
    <x v="0"/>
  </r>
  <r>
    <x v="11"/>
    <x v="0"/>
    <s v="Sustentabilidad ecosistémica y manejo de riesgos"/>
    <x v="12"/>
    <x v="5"/>
    <s v="Sustentabilidad ecosistémica y manejo de riesgos"/>
    <x v="0"/>
    <x v="1"/>
    <x v="1"/>
    <n v="11"/>
    <m/>
    <m/>
    <x v="0"/>
    <s v="En ejecución_x000a_Se modifica valor en la versión 4 por solicitud de la Dirección Técnica"/>
    <m/>
    <x v="1"/>
    <m/>
    <m/>
    <m/>
    <m/>
    <x v="2"/>
  </r>
  <r>
    <x v="12"/>
    <x v="0"/>
    <s v="1  Proyecto regional de voluntariado de guardapáramos estructurado"/>
    <x v="13"/>
    <x v="8"/>
    <s v="Sustentabilidad ecosistémica y manejo de riesgos"/>
    <x v="0"/>
    <x v="0"/>
    <x v="0"/>
    <n v="6"/>
    <d v="2017-03-06T00:00:00"/>
    <d v="2017-03-09T00:00:00"/>
    <x v="0"/>
    <s v="CONTRATADO:  DAVID VALDES CRUZ_x000a_CONTRATO 053-2017_x000a_Se crea en la versión 4 por solicitud de la Dirección Técnica"/>
    <n v="54000000"/>
    <x v="0"/>
    <m/>
    <n v="6"/>
    <n v="3"/>
    <n v="2017"/>
    <x v="0"/>
  </r>
  <r>
    <x v="13"/>
    <x v="0"/>
    <s v="1 Proyecto Páramos en ejecución"/>
    <x v="14"/>
    <x v="1"/>
    <s v="Sustentabilidad ecosistémica y manejo de riesgos"/>
    <x v="1"/>
    <x v="1"/>
    <x v="1"/>
    <s v="N/A"/>
    <m/>
    <m/>
    <x v="0"/>
    <s v="Se crea en la versión 4 por solicitud de la Dirección Técnica_x000a_Se elimina en la versión 8  por solicitud de la Dirección Técnica"/>
    <m/>
    <x v="0"/>
    <m/>
    <m/>
    <m/>
    <m/>
    <x v="1"/>
  </r>
  <r>
    <x v="14"/>
    <x v="0"/>
    <s v="1  Proyecto regional de voluntariado de guardapáramos estructurado"/>
    <x v="15"/>
    <x v="9"/>
    <s v="Sustentabilidad ecosistémica y manejo de riesgos"/>
    <x v="0"/>
    <x v="0"/>
    <x v="0"/>
    <n v="6"/>
    <d v="2017-03-06T00:00:00"/>
    <d v="2017-03-09T00:00:00"/>
    <x v="0"/>
    <s v="Se crea en la versión 4 por solicitud de la Dirección Técnica_x000a_CONTRATADO_x000a_DAVID RIVERA _x000a_6 MESES X 7 MILLONES"/>
    <n v="42000000"/>
    <x v="0"/>
    <m/>
    <n v="6"/>
    <n v="3"/>
    <n v="2017"/>
    <x v="0"/>
  </r>
  <r>
    <x v="15"/>
    <x v="0"/>
    <s v="1  Proyecto regional de voluntariado de guardapáramos estructurado"/>
    <x v="16"/>
    <x v="10"/>
    <s v="Sustentabilidad ecosistémica y manejo de riesgos"/>
    <x v="0"/>
    <x v="0"/>
    <x v="0"/>
    <n v="9"/>
    <d v="2017-03-06T00:00:00"/>
    <d v="2017-03-09T00:00:00"/>
    <x v="0"/>
    <s v="Se crea en la versión 4 por solicitud de la Dirección Técnica_x000a_CONTRATADO: EDGAR OVIEDO VARGAS_x000a_9 MESES X 9 MILLONES"/>
    <n v="81000000"/>
    <x v="0"/>
    <m/>
    <n v="6"/>
    <n v="3"/>
    <n v="2017"/>
    <x v="0"/>
  </r>
  <r>
    <x v="15"/>
    <x v="0"/>
    <s v="1  Proyecto regional de voluntariado de guardapáramos estructurado"/>
    <x v="17"/>
    <x v="11"/>
    <s v="Sustentabilidad ecosistémica y manejo de riesgos"/>
    <x v="0"/>
    <x v="0"/>
    <x v="0"/>
    <n v="1"/>
    <d v="2017-12-01T00:00:00"/>
    <d v="2017-12-09T00:00:00"/>
    <x v="0"/>
    <s v="ADICIONADO:  EDGAR OVIEDO VARGAS CTO 030-2017"/>
    <n v="6300000"/>
    <x v="2"/>
    <m/>
    <n v="1"/>
    <n v="12"/>
    <n v="2017"/>
    <x v="0"/>
  </r>
  <r>
    <x v="16"/>
    <x v="0"/>
    <s v="1 Proyecto Páramos en ejecución"/>
    <x v="18"/>
    <x v="12"/>
    <s v="Sustentabilidad ecosistémica y manejo de riesgos"/>
    <x v="0"/>
    <x v="0"/>
    <x v="0"/>
    <n v="5"/>
    <d v="2017-07-15T00:00:00"/>
    <d v="2017-08-01T00:00:00"/>
    <x v="0"/>
    <s v="CONTRATADO: YEYMER JAVIER COCUNUBO BUITRAGO CTO 071-17_x000a_5MESES X 4.4 MILLONES_x000a_ Se crea en la versión 4 por solicitud de la Dirección Técnica"/>
    <n v="22000000"/>
    <x v="0"/>
    <m/>
    <n v="15"/>
    <n v="7"/>
    <n v="2017"/>
    <x v="0"/>
  </r>
  <r>
    <x v="16"/>
    <x v="0"/>
    <s v="1 Proyecto Páramos en ejecución"/>
    <x v="19"/>
    <x v="13"/>
    <s v="Sustentabilidad ecosistémica y manejo de riesgos"/>
    <x v="0"/>
    <x v="0"/>
    <x v="0"/>
    <s v="13 días"/>
    <d v="2017-12-10T00:00:00"/>
    <d v="2017-12-18T00:00:00"/>
    <x v="0"/>
    <s v="ADICIONADO: YEYMER JAVIER COCUNUBO BUITRAGO CTO 071-17"/>
    <n v="1906667"/>
    <x v="0"/>
    <m/>
    <n v="10"/>
    <n v="12"/>
    <n v="2017"/>
    <x v="0"/>
  </r>
  <r>
    <x v="17"/>
    <x v="0"/>
    <s v="1 Proyecto Páramos en ejecución"/>
    <x v="20"/>
    <x v="1"/>
    <s v="Sustentabilidad ecosistémica y manejo de riesgos"/>
    <x v="1"/>
    <x v="1"/>
    <x v="1"/>
    <s v="N/A"/>
    <m/>
    <m/>
    <x v="0"/>
    <s v="Se crea en la versión 4 por solicitud de la Dirección Técnica_x000a_Se elimina en la versión 8  por solicitud de la Dirección Técnica"/>
    <m/>
    <x v="0"/>
    <m/>
    <m/>
    <m/>
    <m/>
    <x v="1"/>
  </r>
  <r>
    <x v="18"/>
    <x v="0"/>
    <s v="1 acción de cambio climático formulada, cofinanciada y en implementación"/>
    <x v="21"/>
    <x v="1"/>
    <s v="Sustentabilidad ecosistémica y manejo de riesgos"/>
    <x v="1"/>
    <x v="1"/>
    <x v="1"/>
    <s v="N/A"/>
    <m/>
    <m/>
    <x v="0"/>
    <s v="Se modifica en la versión 7 por solicitud de la Dirección Técnica_x000a_Se elimina en la versión 8  por solicitud de la Dirección Técnica"/>
    <m/>
    <x v="0"/>
    <m/>
    <m/>
    <m/>
    <m/>
    <x v="1"/>
  </r>
  <r>
    <x v="19"/>
    <x v="0"/>
    <s v="1  modelo en implementación para 3 municipios"/>
    <x v="22"/>
    <x v="14"/>
    <s v="Sustentabilidad ecosistémica y manejo de riesgos"/>
    <x v="0"/>
    <x v="0"/>
    <x v="0"/>
    <n v="5"/>
    <d v="2017-08-25T00:00:00"/>
    <d v="2017-09-01T00:00:00"/>
    <x v="0"/>
    <s v="CONTRATADO: ALEJANDRA ACOSTA ESTUPIÑAN CTO 096-17_x000a_3 MESES X 4,2 MILLONES "/>
    <n v="12600000"/>
    <x v="0"/>
    <m/>
    <n v="25"/>
    <n v="8"/>
    <n v="2017"/>
    <x v="0"/>
  </r>
  <r>
    <x v="20"/>
    <x v="0"/>
    <s v="diseñar una estrategia de especialización inteligente para la región articulada a la definida para Bogotá-Cundinamarca e implementar uno de los proyectos priorizados en la agenda regional "/>
    <x v="23"/>
    <x v="15"/>
    <s v="Sustentabilidad ecosistémica y manejo de riesgos"/>
    <x v="0"/>
    <x v="0"/>
    <x v="2"/>
    <n v="1.5"/>
    <d v="2017-10-15T00:00:00"/>
    <d v="2017-11-15T00:00:00"/>
    <x v="0"/>
    <s v="CONTRATADO: PATRIMONIO NATURAL FONDO PARA LA BIODIVERSIDAD Y AREAS PROTEGIDAS CTO 111-17"/>
    <n v="300000000"/>
    <x v="0"/>
    <s v="Claudia Paez"/>
    <n v="15"/>
    <n v="10"/>
    <n v="2017"/>
    <x v="0"/>
  </r>
  <r>
    <x v="21"/>
    <x v="0"/>
    <s v="1  modelo en implementación para 3 municipios"/>
    <x v="24"/>
    <x v="1"/>
    <s v="Sustentabilidad ecosistémica y manejo de riesgos"/>
    <x v="0"/>
    <x v="0"/>
    <x v="2"/>
    <n v="12"/>
    <d v="2017-11-05T00:00:00"/>
    <d v="2017-11-10T00:00:00"/>
    <x v="0"/>
    <m/>
    <m/>
    <x v="0"/>
    <s v="Claudia Paez"/>
    <n v="8"/>
    <n v="8"/>
    <n v="2017"/>
    <x v="1"/>
  </r>
  <r>
    <x v="22"/>
    <x v="0"/>
    <s v="1 acción de cambio climático formulada, cofinanciada y en implementación"/>
    <x v="25"/>
    <x v="3"/>
    <s v="Sustentabilidad ecosistémica y manejo de riesgos"/>
    <x v="0"/>
    <x v="0"/>
    <x v="0"/>
    <n v="3"/>
    <d v="2017-09-01T00:00:00"/>
    <d v="2017-09-15T00:00:00"/>
    <x v="0"/>
    <s v="CONTRATADO: JHONNY HIGUERA CTO 120-2017"/>
    <n v="5000000"/>
    <x v="3"/>
    <m/>
    <n v="1"/>
    <n v="9"/>
    <n v="2017"/>
    <x v="0"/>
  </r>
  <r>
    <x v="23"/>
    <x v="0"/>
    <s v="1 acción de cambio climático formulada, cofinanciada y en implementación"/>
    <x v="26"/>
    <x v="16"/>
    <s v="Sustentabilidad ecosistémica y manejo de riesgos"/>
    <x v="0"/>
    <x v="0"/>
    <x v="2"/>
    <s v="1 mes"/>
    <d v="2017-07-05T00:00:00"/>
    <d v="2017-07-10T00:00:00"/>
    <x v="0"/>
    <s v="CONTRATADO: ADESCUBRIR TRAVEL &amp; ADVENTURE S.A.S. CTO 066-17_x000a_Se crea en la versión 8  por solicitud de la Dirección Técnica"/>
    <n v="50000000"/>
    <x v="0"/>
    <m/>
    <n v="5"/>
    <n v="7"/>
    <n v="2017"/>
    <x v="0"/>
  </r>
  <r>
    <x v="24"/>
    <x v="0"/>
    <s v="1  Proyecto regional de voluntariado de guardapáramos estructurado"/>
    <x v="27"/>
    <x v="17"/>
    <s v="Sustentabilidad ecosistémica y manejo de riesgos"/>
    <x v="0"/>
    <x v="0"/>
    <x v="0"/>
    <n v="5"/>
    <d v="2017-08-03T00:00:00"/>
    <d v="2017-08-04T00:00:00"/>
    <x v="0"/>
    <s v="CONTRATADO: FERNEY ALEXANDER PEREZ CTO 079-17_x000a_3 MESES X4.5 MILLONES "/>
    <n v="13500000"/>
    <x v="0"/>
    <m/>
    <n v="3"/>
    <n v="8"/>
    <n v="2017"/>
    <x v="0"/>
  </r>
  <r>
    <x v="25"/>
    <x v="0"/>
    <s v="1  Proyecto regional de voluntariado de guardapáramos estructurado"/>
    <x v="28"/>
    <x v="18"/>
    <s v="Sustentabilidad ecosistémica y manejo de riesgos"/>
    <x v="0"/>
    <x v="2"/>
    <x v="3"/>
    <n v="4"/>
    <d v="2017-08-03T00:00:00"/>
    <d v="2017-10-01T00:00:00"/>
    <x v="0"/>
    <s v="CONTRATADO: FUNDACIÓN PROYECCIÓN SOCIAL Y AMBIENTAL CTO 112-2017"/>
    <n v="226628000"/>
    <x v="4"/>
    <s v="Claudia Paez"/>
    <n v="3"/>
    <n v="8"/>
    <n v="2017"/>
    <x v="0"/>
  </r>
  <r>
    <x v="26"/>
    <x v="0"/>
    <s v="1 documento con la identificación de los elementos para la conectividad de la estructura ecológica regional"/>
    <x v="29"/>
    <x v="19"/>
    <s v="Sustentabilidad ecosistémica y manejo de riesgos"/>
    <x v="0"/>
    <x v="0"/>
    <x v="0"/>
    <n v="3"/>
    <d v="2017-09-10T00:00:00"/>
    <d v="2017-09-15T00:00:00"/>
    <x v="0"/>
    <s v="CONTRATADO: DAVID RIVERA OSPINA CTO 101- 17"/>
    <n v="23466666"/>
    <x v="0"/>
    <m/>
    <n v="10"/>
    <n v="9"/>
    <n v="2017"/>
    <x v="0"/>
  </r>
  <r>
    <x v="27"/>
    <x v="1"/>
    <s v="10 organizaciones campesinas vinculadas al Sistema de Compras Institucionales"/>
    <x v="30"/>
    <x v="20"/>
    <s v="Seguridad alimentaria y desarrollo rural"/>
    <x v="0"/>
    <x v="0"/>
    <x v="4"/>
    <n v="4.5"/>
    <d v="2017-08-03T00:00:00"/>
    <d v="2017-08-15T00:00:00"/>
    <x v="0"/>
    <s v="ADICIONADO: FAO CON 051-17_x000a_Se modifica en la versión 4 por solicitud de la Dirección Técnica"/>
    <n v="350000000"/>
    <x v="0"/>
    <s v="Natalia Naranjo"/>
    <n v="3"/>
    <n v="8"/>
    <n v="2017"/>
    <x v="0"/>
  </r>
  <r>
    <x v="27"/>
    <x v="1"/>
    <s v="10 organizaciones campesinas vinculadas al Sistema de Compras Institucionales"/>
    <x v="31"/>
    <x v="15"/>
    <s v="Seguridad alimentaria y desarrollo rural"/>
    <x v="0"/>
    <x v="0"/>
    <x v="4"/>
    <n v="5"/>
    <d v="2017-11-02T00:00:00"/>
    <d v="2017-11-11T00:00:00"/>
    <x v="0"/>
    <m/>
    <m/>
    <x v="5"/>
    <m/>
    <n v="2"/>
    <n v="11"/>
    <n v="2017"/>
    <x v="3"/>
  </r>
  <r>
    <x v="28"/>
    <x v="1"/>
    <s v="10 organizaciones campesinas vinculadas al Sistema de Compras Institucionales"/>
    <x v="32"/>
    <x v="5"/>
    <s v="Seguridad alimentaria y desarrollo rural"/>
    <x v="0"/>
    <x v="0"/>
    <x v="0"/>
    <n v="6"/>
    <d v="2017-03-27T00:00:00"/>
    <d v="2017-04-03T00:00:00"/>
    <x v="0"/>
    <s v="CONTRATADO: SEBASTIAN OSORIO _x000a_6MESES X 8 MILLONES_x000a_Se modifica en la versión 4 por solicitud de la Dirección Técnica"/>
    <n v="48000000"/>
    <x v="0"/>
    <m/>
    <n v="27"/>
    <n v="3"/>
    <n v="2017"/>
    <x v="0"/>
  </r>
  <r>
    <x v="29"/>
    <x v="1"/>
    <s v="Implementar el proyecto de compras institucionales de la Región Central"/>
    <x v="33"/>
    <x v="21"/>
    <s v="Seguridad alimentaria y desarrollo rural"/>
    <x v="0"/>
    <x v="0"/>
    <x v="0"/>
    <n v="11"/>
    <d v="2017-02-01T00:00:00"/>
    <d v="2017-02-13T00:00:00"/>
    <x v="0"/>
    <s v="CONTRATADO: YAMILE CONTENTO_x000a_7 MESES X 4 MILLONES. Terminación anticipada a partir del 23/02/17"/>
    <n v="2266667"/>
    <x v="0"/>
    <m/>
    <n v="1"/>
    <n v="2"/>
    <n v="2017"/>
    <x v="0"/>
  </r>
  <r>
    <x v="30"/>
    <x v="1"/>
    <s v="3 Municipios con acción de cambio verde"/>
    <x v="34"/>
    <x v="1"/>
    <s v="Seguridad alimentaria y desarrollo rural"/>
    <x v="1"/>
    <x v="1"/>
    <x v="1"/>
    <s v="N/A"/>
    <m/>
    <m/>
    <x v="0"/>
    <s v="Se elimina en la versión 4 por solicitud de la Dirección Técnica"/>
    <m/>
    <x v="0"/>
    <m/>
    <m/>
    <m/>
    <m/>
    <x v="1"/>
  </r>
  <r>
    <x v="31"/>
    <x v="1"/>
    <s v="10 organizaciones campesinas vinculadas al Sistema de Compras Institucionales"/>
    <x v="33"/>
    <x v="22"/>
    <s v="Seguridad alimentaria y desarrollo rural"/>
    <x v="0"/>
    <x v="0"/>
    <x v="0"/>
    <n v="9"/>
    <d v="2017-03-06T00:00:00"/>
    <d v="2017-03-10T00:00:00"/>
    <x v="0"/>
    <s v="CONTRATADO: CAROLINA HIGUERA_x000a_Se modifica en la versión 4 por solicitud de la Dirección Técnica"/>
    <n v="36000000"/>
    <x v="0"/>
    <m/>
    <n v="6"/>
    <n v="3"/>
    <n v="2017"/>
    <x v="0"/>
  </r>
  <r>
    <x v="31"/>
    <x v="1"/>
    <s v="10 organizaciones campesinas vinculadas al Sistema de Compras Institucionales"/>
    <x v="35"/>
    <x v="23"/>
    <s v="Seguridad alimentaria y desarrollo rural"/>
    <x v="0"/>
    <x v="0"/>
    <x v="0"/>
    <n v="3"/>
    <d v="2017-09-12T00:00:00"/>
    <d v="2017-10-01T00:00:00"/>
    <x v="0"/>
    <s v="ADICIONADO: CAROLINA HIGUERA 037-17_x000a_18 MILLONES X 3 MESES_x000a_Se crea en la versión 8 por solicitud de la Dirección Técnica"/>
    <n v="18000000"/>
    <x v="0"/>
    <m/>
    <n v="12"/>
    <n v="9"/>
    <n v="2017"/>
    <x v="0"/>
  </r>
  <r>
    <x v="32"/>
    <x v="1"/>
    <s v="3 Municipios con acción de cambio verde"/>
    <x v="36"/>
    <x v="24"/>
    <s v="Seguridad alimentaria y desarrollo rural"/>
    <x v="0"/>
    <x v="0"/>
    <x v="0"/>
    <n v="6"/>
    <d v="2017-03-06T00:00:00"/>
    <d v="2017-03-10T00:00:00"/>
    <x v="0"/>
    <s v="CONTRATADO: DIEGO ALONSO GUTIERREZ RANGEL_x000a_6 MESES X 5.5  MILLONES._x000a_Se modifica en la versión 4 por solicitud de la Dirección Técnica"/>
    <n v="33000000"/>
    <x v="0"/>
    <m/>
    <n v="6"/>
    <n v="3"/>
    <n v="2017"/>
    <x v="0"/>
  </r>
  <r>
    <x v="32"/>
    <x v="1"/>
    <s v="3 Municipios con acción de cambio verde"/>
    <x v="37"/>
    <x v="25"/>
    <s v="Seguridad alimentaria y desarrollo rural"/>
    <x v="0"/>
    <x v="0"/>
    <x v="0"/>
    <n v="2"/>
    <d v="2017-09-22T00:00:00"/>
    <d v="2017-09-23T00:00:00"/>
    <x v="0"/>
    <s v="Adicionado: DIEGO ALONSO GUTIERREZ RANGEL  CTO 048-17"/>
    <n v="11000000"/>
    <x v="0"/>
    <m/>
    <n v="22"/>
    <n v="9"/>
    <n v="2017"/>
    <x v="0"/>
  </r>
  <r>
    <x v="32"/>
    <x v="1"/>
    <s v="3 Municipios con acción de cambio verde"/>
    <x v="38"/>
    <x v="26"/>
    <s v="Seguridad alimentaria y desarrollo rural"/>
    <x v="0"/>
    <x v="0"/>
    <x v="0"/>
    <n v="1"/>
    <d v="2017-11-24T00:00:00"/>
    <d v="2017-11-24T00:00:00"/>
    <x v="0"/>
    <s v="Adicionado: DIEGO ALONSO GUTIERREZ RANGEL  CTO 048-17"/>
    <n v="5500000"/>
    <x v="0"/>
    <m/>
    <n v="24"/>
    <n v="11"/>
    <n v="2017"/>
    <x v="0"/>
  </r>
  <r>
    <x v="33"/>
    <x v="1"/>
    <s v="10 organizaciones campesinas vinculadas al Sistema de Compras Institucionales"/>
    <x v="39"/>
    <x v="27"/>
    <s v="Seguridad alimentaria y desarrollo rural"/>
    <x v="0"/>
    <x v="0"/>
    <x v="0"/>
    <n v="6"/>
    <d v="2017-03-06T00:00:00"/>
    <d v="2017-03-10T00:00:00"/>
    <x v="0"/>
    <s v="CONTRATADO: LUIS MIGUEL RAMIREZ DIAZ_x000a_6MESES X 2,5 MILLONES REDUCCIÓN POR TERMINACIÓN ANTICIPADA_x000a_Se modifica en la versión 4 por solicitud de la Dirección Técnica"/>
    <n v="5583333"/>
    <x v="0"/>
    <m/>
    <n v="6"/>
    <n v="3"/>
    <n v="2017"/>
    <x v="0"/>
  </r>
  <r>
    <x v="34"/>
    <x v="1"/>
    <s v="Seguridad alimentaria y desarrollo rural"/>
    <x v="12"/>
    <x v="28"/>
    <s v="Seguridad alimentaria y desarrollo rural"/>
    <x v="0"/>
    <x v="1"/>
    <x v="1"/>
    <n v="11"/>
    <m/>
    <m/>
    <x v="0"/>
    <s v="En ejecución"/>
    <m/>
    <x v="6"/>
    <m/>
    <m/>
    <m/>
    <m/>
    <x v="2"/>
  </r>
  <r>
    <x v="35"/>
    <x v="1"/>
    <s v="900 Familias identificadas para intervención"/>
    <x v="40"/>
    <x v="1"/>
    <s v="Seguridad alimentaria y desarrollo rural"/>
    <x v="1"/>
    <x v="1"/>
    <x v="1"/>
    <s v="N/A"/>
    <m/>
    <m/>
    <x v="0"/>
    <s v="Se crea en la versión 4 por solicitud de la Dirección Técnica"/>
    <m/>
    <x v="0"/>
    <m/>
    <m/>
    <m/>
    <m/>
    <x v="1"/>
  </r>
  <r>
    <x v="36"/>
    <x v="1"/>
    <s v="900 Familias identificadas para intervención"/>
    <x v="41"/>
    <x v="1"/>
    <s v="Seguridad alimentaria y desarrollo rural"/>
    <x v="1"/>
    <x v="1"/>
    <x v="1"/>
    <s v="N/A"/>
    <m/>
    <m/>
    <x v="0"/>
    <s v="Se crea en la versión 4 por solicitud de la Dirección Técnica"/>
    <m/>
    <x v="0"/>
    <m/>
    <m/>
    <m/>
    <m/>
    <x v="1"/>
  </r>
  <r>
    <x v="37"/>
    <x v="1"/>
    <s v="900 Familias identificadas para intervención"/>
    <x v="42"/>
    <x v="1"/>
    <s v="Seguridad alimentaria y desarrollo rural"/>
    <x v="1"/>
    <x v="1"/>
    <x v="1"/>
    <s v="N/A"/>
    <m/>
    <m/>
    <x v="0"/>
    <s v="Se crea en la versión 4 por solicitud de la Dirección Técnica"/>
    <m/>
    <x v="0"/>
    <m/>
    <m/>
    <m/>
    <m/>
    <x v="1"/>
  </r>
  <r>
    <x v="38"/>
    <x v="1"/>
    <s v="2 Mercados campesinos realizados en la Región Central"/>
    <x v="43"/>
    <x v="29"/>
    <s v="Seguridad alimentaria y desarrollo rural"/>
    <x v="0"/>
    <x v="3"/>
    <x v="4"/>
    <n v="1"/>
    <d v="2017-04-07T00:00:00"/>
    <d v="2017-04-17T00:00:00"/>
    <x v="0"/>
    <s v="CONTRATADO: ADICIÓN APAVE_x000a_Se crea en la versión 5 por solicitud de la Dirección Técnica"/>
    <n v="14070500"/>
    <x v="0"/>
    <m/>
    <n v="7"/>
    <n v="4"/>
    <n v="2017"/>
    <x v="0"/>
  </r>
  <r>
    <x v="39"/>
    <x v="1"/>
    <s v="10 organizaciones campesinas vinculadas al Sistema de Compras Institucionales"/>
    <x v="44"/>
    <x v="12"/>
    <s v="Seguridad alimentaria y desarrollo rural"/>
    <x v="0"/>
    <x v="0"/>
    <x v="0"/>
    <n v="5"/>
    <d v="2017-08-01T00:00:00"/>
    <d v="2017-08-08T00:00:00"/>
    <x v="0"/>
    <s v="CARLOS ANDRÉS GUERRERO CTO 78-17_x000a_4 MESES X 5.5 MILLONES "/>
    <n v="22000000"/>
    <x v="0"/>
    <m/>
    <n v="1"/>
    <n v="8"/>
    <n v="2017"/>
    <x v="0"/>
  </r>
  <r>
    <x v="39"/>
    <x v="1"/>
    <s v="10 organizaciones campesinas vinculadas al Sistema de Compras Institucionales"/>
    <x v="45"/>
    <x v="30"/>
    <s v="Seguridad alimentaria y desarrollo rural"/>
    <x v="0"/>
    <x v="3"/>
    <x v="0"/>
    <s v="22 días"/>
    <d v="2017-12-08T00:00:00"/>
    <d v="2017-12-08T00:00:00"/>
    <x v="0"/>
    <s v="ADICIÓN: CARLOS ANDRÉS GUERRERO CTO 78-17"/>
    <n v="4033326"/>
    <x v="0"/>
    <m/>
    <m/>
    <m/>
    <m/>
    <x v="0"/>
  </r>
  <r>
    <x v="40"/>
    <x v="1"/>
    <s v="3 Municipios con acción de cambio verde"/>
    <x v="46"/>
    <x v="12"/>
    <s v="Seguridad alimentaria y desarrollo rural"/>
    <x v="0"/>
    <x v="0"/>
    <x v="0"/>
    <n v="5"/>
    <d v="2017-07-15T00:00:00"/>
    <d v="2017-08-01T00:00:00"/>
    <x v="0"/>
    <s v="CONTRATO: CESAR VILLABONA CTO 076-17_x000a_4 MESES X 5.5 MILLONES"/>
    <n v="22000000"/>
    <x v="0"/>
    <m/>
    <n v="15"/>
    <n v="7"/>
    <n v="2017"/>
    <x v="0"/>
  </r>
  <r>
    <x v="40"/>
    <x v="1"/>
    <s v="3 Municipios con acción de cambio verde"/>
    <x v="47"/>
    <x v="31"/>
    <s v="Seguridad alimentaria y desarrollo rural"/>
    <x v="0"/>
    <x v="0"/>
    <x v="0"/>
    <s v="21 dias"/>
    <d v="2017-12-01T00:00:00"/>
    <d v="2017-12-10T00:00:00"/>
    <x v="0"/>
    <s v="ADICIONADO: CESAR VILLABONA CTO 076-17"/>
    <n v="2556667"/>
    <x v="7"/>
    <m/>
    <n v="1"/>
    <n v="12"/>
    <n v="2017"/>
    <x v="0"/>
  </r>
  <r>
    <x v="41"/>
    <x v="1"/>
    <s v="3 Municipios con acción de cambio verde"/>
    <x v="48"/>
    <x v="32"/>
    <s v="Seguridad alimentaria y desarrollo rural"/>
    <x v="0"/>
    <x v="0"/>
    <x v="0"/>
    <n v="5"/>
    <d v="2017-07-15T00:00:00"/>
    <d v="2017-08-01T00:00:00"/>
    <x v="0"/>
    <s v="CONTRATADO: MAIRA ALEJANDRA CTO 072-17 _x000a_4 MESES X 2.5 MILLONES_x000a_"/>
    <n v="10000000"/>
    <x v="0"/>
    <m/>
    <n v="15"/>
    <n v="7"/>
    <n v="2017"/>
    <x v="0"/>
  </r>
  <r>
    <x v="41"/>
    <x v="1"/>
    <s v="3 Municipios con acción de cambio verde"/>
    <x v="49"/>
    <x v="33"/>
    <s v="Seguridad alimentaria y desarrollo rural"/>
    <x v="0"/>
    <x v="0"/>
    <x v="0"/>
    <s v="1 mes y 7 días"/>
    <d v="2017-11-16T00:00:00"/>
    <d v="2017-11-24T00:00:00"/>
    <x v="0"/>
    <s v="CONTRATADO: MAIRA ALEJANDRA CTO 072-17 "/>
    <n v="3083333"/>
    <x v="0"/>
    <m/>
    <n v="13"/>
    <n v="11"/>
    <n v="2017"/>
    <x v="0"/>
  </r>
  <r>
    <x v="42"/>
    <x v="1"/>
    <s v="3 Municipios con acción de cambio verde"/>
    <x v="50"/>
    <x v="34"/>
    <s v="Seguridad alimentaria y desarrollo rural"/>
    <x v="0"/>
    <x v="0"/>
    <x v="0"/>
    <n v="3"/>
    <d v="2017-08-25T00:00:00"/>
    <d v="2017-09-01T00:00:00"/>
    <x v="0"/>
    <s v="CONTRATADO: KAROLINA LÓPEZ VELÁSQUEZ CTO 092-17_x000a_3 MESES X 5 MILLONES"/>
    <n v="1833333"/>
    <x v="0"/>
    <m/>
    <n v="25"/>
    <n v="8"/>
    <n v="2017"/>
    <x v="0"/>
  </r>
  <r>
    <x v="43"/>
    <x v="1"/>
    <s v="2 Mercados campesinos realizados en la Región Central"/>
    <x v="51"/>
    <x v="32"/>
    <s v="Seguridad alimentaria y desarrollo rural"/>
    <x v="0"/>
    <x v="0"/>
    <x v="0"/>
    <n v="5"/>
    <d v="2017-07-11T00:00:00"/>
    <d v="2017-07-14T00:00:00"/>
    <x v="0"/>
    <s v="CONTRATADO: RAFAEL ARLEY VIEDA CTO 068-17_x000a_4 MESES X 2.5 MILLONES"/>
    <n v="10000000"/>
    <x v="0"/>
    <m/>
    <n v="11"/>
    <n v="7"/>
    <n v="2017"/>
    <x v="0"/>
  </r>
  <r>
    <x v="43"/>
    <x v="1"/>
    <s v="2 Mercados campesinos realizados en la Región Central"/>
    <x v="52"/>
    <x v="35"/>
    <s v="Seguridad alimentaria y desarrollo rural"/>
    <x v="0"/>
    <x v="0"/>
    <x v="0"/>
    <s v="1 mes y 14 dias"/>
    <d v="2017-11-09T00:00:00"/>
    <d v="2017-11-17T00:00:00"/>
    <x v="0"/>
    <s v="CONTRATADO: RAFAEL ARLEY VIEDA CTO 068-17"/>
    <n v="3666667"/>
    <x v="0"/>
    <m/>
    <n v="9"/>
    <n v="11"/>
    <n v="2017"/>
    <x v="0"/>
  </r>
  <r>
    <x v="44"/>
    <x v="1"/>
    <s v="2 Mercados campesinos realizados en la Región Central"/>
    <x v="53"/>
    <x v="1"/>
    <s v="Seguridad alimentaria y desarrollo rural"/>
    <x v="0"/>
    <x v="4"/>
    <x v="3"/>
    <n v="1"/>
    <d v="2017-10-15T00:00:00"/>
    <d v="2017-11-30T00:00:00"/>
    <x v="0"/>
    <m/>
    <m/>
    <x v="0"/>
    <s v="Natalia Naranjo"/>
    <n v="15"/>
    <n v="10"/>
    <n v="2017"/>
    <x v="1"/>
  </r>
  <r>
    <x v="45"/>
    <x v="1"/>
    <s v="900 Familias identificadas para intervención"/>
    <x v="54"/>
    <x v="36"/>
    <s v="Seguridad alimentaria y desarrollo rural"/>
    <x v="0"/>
    <x v="0"/>
    <x v="0"/>
    <n v="2.5"/>
    <d v="2017-09-21T00:00:00"/>
    <d v="2017-10-01T00:00:00"/>
    <x v="0"/>
    <s v="ADICIONADO: SEBASTIAN DE JESUS OSORIO CTO 043-17"/>
    <n v="18500000"/>
    <x v="0"/>
    <m/>
    <n v="21"/>
    <n v="9"/>
    <n v="2017"/>
    <x v="0"/>
  </r>
  <r>
    <x v="46"/>
    <x v="1"/>
    <s v="900 Familias identificadas para intervención"/>
    <x v="55"/>
    <x v="37"/>
    <s v="Seguridad alimentaria y desarrollo rural"/>
    <x v="0"/>
    <x v="5"/>
    <x v="5"/>
    <n v="4"/>
    <d v="2017-08-15T00:00:00"/>
    <d v="2017-10-15T00:00:00"/>
    <x v="0"/>
    <m/>
    <m/>
    <x v="8"/>
    <s v="Angela Moreno"/>
    <n v="15"/>
    <n v="8"/>
    <n v="2017"/>
    <x v="4"/>
  </r>
  <r>
    <x v="47"/>
    <x v="1"/>
    <s v="3 Municipios con acción de cambio verde"/>
    <x v="56"/>
    <x v="38"/>
    <s v="Seguridad alimentaria y desarrollo rural"/>
    <x v="0"/>
    <x v="0"/>
    <x v="6"/>
    <s v="N/A"/>
    <d v="2017-11-09T00:00:00"/>
    <d v="2017-11-15T00:00:00"/>
    <x v="0"/>
    <s v="CONTRATADO: TV ANDINA CANAL 13 CTO 099-17"/>
    <n v="11169866"/>
    <x v="0"/>
    <m/>
    <n v="8"/>
    <n v="11"/>
    <n v="2017"/>
    <x v="0"/>
  </r>
  <r>
    <x v="48"/>
    <x v="1"/>
    <s v="3 Municipios con acción de cambio verde"/>
    <x v="57"/>
    <x v="39"/>
    <s v="Seguridad alimentaria y desarrollo rural"/>
    <x v="0"/>
    <x v="0"/>
    <x v="0"/>
    <n v="1.5"/>
    <d v="2017-11-09T00:00:00"/>
    <d v="2017-11-15T00:00:00"/>
    <x v="1"/>
    <s v="CONTRATADO: FUNDACIÓN CULTURAL BALLET FOLCLÓRICO TIERRA COLOMBIANA CTO 115-17"/>
    <n v="2236770"/>
    <x v="0"/>
    <m/>
    <n v="9"/>
    <n v="11"/>
    <n v="2017"/>
    <x v="0"/>
  </r>
  <r>
    <x v="49"/>
    <x v="2"/>
    <s v="1 acciones logística concertada y cofinanciadas, para el mejoramiento de la red de distribución y cadenas de abastecimiento en horarios de cargue y descargue nocturno"/>
    <x v="58"/>
    <x v="1"/>
    <s v="Infraestructuras de transporte, logística y servicios públicos"/>
    <x v="0"/>
    <x v="0"/>
    <x v="2"/>
    <n v="1.5"/>
    <d v="2017-10-15T00:00:00"/>
    <d v="2017-11-15T00:00:00"/>
    <x v="0"/>
    <s v="Se modifica en la versión 4 por solicitud de la Dirección Técnica_x000a_Se modifica en la versión 8 por solicitud de la Dirección Técnica"/>
    <m/>
    <x v="0"/>
    <s v="Angela Moreno"/>
    <n v="15"/>
    <n v="10"/>
    <n v="2017"/>
    <x v="1"/>
  </r>
  <r>
    <x v="50"/>
    <x v="2"/>
    <s v="Mejorar la capacidad logística de la Región Central"/>
    <x v="59"/>
    <x v="1"/>
    <s v="Infraestructuras de transporte, logística y servicios públicos"/>
    <x v="1"/>
    <x v="1"/>
    <x v="1"/>
    <s v="N/A"/>
    <m/>
    <m/>
    <x v="0"/>
    <s v="Se modifica en la versión 4 por solicitud de la Dirección Técnica"/>
    <m/>
    <x v="0"/>
    <m/>
    <m/>
    <m/>
    <m/>
    <x v="1"/>
  </r>
  <r>
    <x v="51"/>
    <x v="2"/>
    <s v="2 Proyectos del PMTIRC priorizados para formulación de fase II"/>
    <x v="60"/>
    <x v="40"/>
    <s v="Infraestructuras de transporte, logística y servicios públicos"/>
    <x v="0"/>
    <x v="0"/>
    <x v="0"/>
    <n v="5"/>
    <d v="2017-02-01T00:00:00"/>
    <d v="2017-02-13T00:00:00"/>
    <x v="0"/>
    <s v="CONTRATADO: JULIÁN MORENO_x000a_5 MESES X 5´1 MILLONES_x000a_Se modifica en la versión 4 por solicitud de la Dirección Técnica"/>
    <n v="25500000"/>
    <x v="0"/>
    <m/>
    <n v="1"/>
    <n v="2"/>
    <n v="2017"/>
    <x v="0"/>
  </r>
  <r>
    <x v="52"/>
    <x v="2"/>
    <s v="2 Proyectos del PMTIRC priorizados para formulación de fase II"/>
    <x v="61"/>
    <x v="1"/>
    <s v="Infraestructuras de transporte, logística y servicios públicos"/>
    <x v="1"/>
    <x v="1"/>
    <x v="1"/>
    <s v="N/A"/>
    <m/>
    <m/>
    <x v="0"/>
    <s v="Se modifica en la versión 4 por solicitud de la Dirección Técnica_x000a_Se elimina en la versión 8 por solicitud de la Dirección Técnica"/>
    <m/>
    <x v="0"/>
    <m/>
    <m/>
    <m/>
    <m/>
    <x v="1"/>
  </r>
  <r>
    <x v="53"/>
    <x v="2"/>
    <s v="Infraestructuras de transporte, logística y servicios públicos"/>
    <x v="12"/>
    <x v="41"/>
    <s v="Infraestructuras de transporte, logística y servicios públicos"/>
    <x v="1"/>
    <x v="1"/>
    <x v="1"/>
    <s v="N/A"/>
    <m/>
    <m/>
    <x v="0"/>
    <s v="Se modifica en la versión 8 por solicitud de la Dirección Técnica"/>
    <m/>
    <x v="9"/>
    <m/>
    <m/>
    <m/>
    <m/>
    <x v="2"/>
  </r>
  <r>
    <x v="54"/>
    <x v="2"/>
    <s v="2 Proyectos del PMTIRC priorizados para formulación de fase II"/>
    <x v="62"/>
    <x v="1"/>
    <s v="Infraestructuras de transporte, logística y servicios públicos"/>
    <x v="1"/>
    <x v="1"/>
    <x v="1"/>
    <s v="N/A"/>
    <m/>
    <m/>
    <x v="0"/>
    <s v="Se modifica en la versión 4 por solicitud de la Dirección Técnica_x000a_Se elimina en la versión 8 por solicitud de la Dirección Técnica"/>
    <m/>
    <x v="0"/>
    <m/>
    <m/>
    <m/>
    <m/>
    <x v="1"/>
  </r>
  <r>
    <x v="55"/>
    <x v="2"/>
    <s v="2 Proyectos del PMTIRC priorizados para formulación de fase II"/>
    <x v="63"/>
    <x v="1"/>
    <s v="Infraestructuras de transporte, logística y servicios públicos"/>
    <x v="1"/>
    <x v="1"/>
    <x v="1"/>
    <s v="N/A"/>
    <m/>
    <m/>
    <x v="0"/>
    <s v="Se elimina en la versión 8 por solicitud de la Dirección Técnica"/>
    <m/>
    <x v="0"/>
    <m/>
    <m/>
    <m/>
    <m/>
    <x v="1"/>
  </r>
  <r>
    <x v="56"/>
    <x v="2"/>
    <s v="2 Proyectos del PMTIRC priorizados para formulación de fase II"/>
    <x v="64"/>
    <x v="42"/>
    <s v="Infraestructuras de transporte, logística y servicios públicos"/>
    <x v="0"/>
    <x v="0"/>
    <x v="0"/>
    <n v="4"/>
    <d v="2017-08-01T00:00:00"/>
    <d v="2017-08-15T00:00:00"/>
    <x v="0"/>
    <s v="CONTRATADO: Jorge Aya CTO 087-17_x000a_7 MILLONES X 4 MESES_x000a_Se crea en la versión 8 por solicitud de la Dirección Técnica"/>
    <n v="28000000"/>
    <x v="0"/>
    <m/>
    <n v="1"/>
    <n v="8"/>
    <n v="2017"/>
    <x v="0"/>
  </r>
  <r>
    <x v="57"/>
    <x v="3"/>
    <s v="2 Productos Turísticos Regionales en implementación"/>
    <x v="65"/>
    <x v="43"/>
    <s v="Competitividad y proyección internacional"/>
    <x v="0"/>
    <x v="0"/>
    <x v="0"/>
    <n v="6"/>
    <d v="2017-01-13T00:00:00"/>
    <d v="2017-02-01T00:00:00"/>
    <x v="0"/>
    <s v="CONTRATADO: JUAN JOSÉ LAMAR_x000a_6 MESES X 6´5 MILLONES_x000a_Se modifica en la versión 4 por solicitud de la Dirección Técnica"/>
    <n v="39000000"/>
    <x v="0"/>
    <m/>
    <n v="13"/>
    <n v="1"/>
    <n v="2017"/>
    <x v="0"/>
  </r>
  <r>
    <x v="58"/>
    <x v="3"/>
    <s v="1 Acción de fortalecimiento de las Comisiones Regionales de Competitividad"/>
    <x v="66"/>
    <x v="44"/>
    <s v="Competitividad y proyección internacional"/>
    <x v="0"/>
    <x v="0"/>
    <x v="0"/>
    <n v="6"/>
    <d v="2017-01-13T00:00:00"/>
    <d v="2017-02-01T00:00:00"/>
    <x v="0"/>
    <s v="JOSE FRANCISCO SEQUEDA_x000a_6 MESES X 4^2 MILLONES_x000a_Se modifica en la versión 4 por solicitud de la Dirección Técnica"/>
    <n v="25200000"/>
    <x v="0"/>
    <m/>
    <n v="13"/>
    <n v="1"/>
    <n v="2017"/>
    <x v="0"/>
  </r>
  <r>
    <x v="58"/>
    <x v="3"/>
    <s v="1 Acción de fortalecimiento de las Comisiones Regionales de Competitividad"/>
    <x v="67"/>
    <x v="14"/>
    <s v="Competitividad y proyección internacional"/>
    <x v="0"/>
    <x v="0"/>
    <x v="0"/>
    <n v="3"/>
    <d v="2017-09-01T00:00:00"/>
    <d v="2017-09-09T00:00:00"/>
    <x v="0"/>
    <s v="JOSE FRANCISCO SEQUEDA_x000a_Se modifica en la versión 4 por solicitud de la Dirección Técnica"/>
    <n v="12600000"/>
    <x v="0"/>
    <m/>
    <n v="1"/>
    <n v="9"/>
    <n v="2017"/>
    <x v="0"/>
  </r>
  <r>
    <x v="59"/>
    <x v="3"/>
    <s v="diseñar una estrategia de especialización inteligente para la región articulada a la definida para Bogotá-Cundinamarca e implementar uno de los proyectos priorizados en la agenda regional "/>
    <x v="68"/>
    <x v="1"/>
    <s v="Competitividad y proyección internacional"/>
    <x v="1"/>
    <x v="1"/>
    <x v="1"/>
    <s v="N/A"/>
    <m/>
    <m/>
    <x v="0"/>
    <s v="Se modifica en la versión 4 por solicitud de la Dirección Técnica_x000a_Se elimina en la versión 8 a solicitud de la Dirección Técnica"/>
    <m/>
    <x v="0"/>
    <m/>
    <m/>
    <m/>
    <m/>
    <x v="1"/>
  </r>
  <r>
    <x v="60"/>
    <x v="3"/>
    <s v="Articular los territorios de la Región Central a través del desarrollo de productos turisticos asociados al turismo de naturaleza"/>
    <x v="69"/>
    <x v="1"/>
    <s v="Competitividad y proyección internacional"/>
    <x v="1"/>
    <x v="1"/>
    <x v="1"/>
    <s v="N/A"/>
    <m/>
    <m/>
    <x v="0"/>
    <s v="Se modifica en la versión 4 por solicitud de la Dirección Técnica_x000a_Se elimina en la versión 8 a solicitud de la Dirección Técnica"/>
    <m/>
    <x v="0"/>
    <m/>
    <m/>
    <m/>
    <m/>
    <x v="1"/>
  </r>
  <r>
    <x v="61"/>
    <x v="3"/>
    <s v="Articular los territorios de la Región Central a través del desarrollo de productos turisticos asociados al turismo de naturaleza"/>
    <x v="70"/>
    <x v="1"/>
    <s v="Competitividad y proyección internacional"/>
    <x v="1"/>
    <x v="1"/>
    <x v="1"/>
    <s v="N/A"/>
    <m/>
    <m/>
    <x v="0"/>
    <s v="Se modifica en la versión 4 por solicitud de la Dirección Técnica_x000a_Se elimina en la versión 8 a solicitud de la Dirección Técnica"/>
    <m/>
    <x v="0"/>
    <m/>
    <m/>
    <m/>
    <m/>
    <x v="1"/>
  </r>
  <r>
    <x v="62"/>
    <x v="3"/>
    <s v="Articular los territorios de la Región Central a través del desarrollo de productos turisticos asociados al turismo de naturaleza"/>
    <x v="71"/>
    <x v="1"/>
    <s v="Competitividad y proyección internacional"/>
    <x v="1"/>
    <x v="1"/>
    <x v="1"/>
    <s v="N/A"/>
    <m/>
    <m/>
    <x v="0"/>
    <s v="Se modifica en la versión 4 por solicitud de la Dirección Técnica_x000a_Se elimina en la versión 8 a solicitud de la Dirección Técnica"/>
    <m/>
    <x v="0"/>
    <m/>
    <m/>
    <m/>
    <m/>
    <x v="1"/>
  </r>
  <r>
    <x v="63"/>
    <x v="3"/>
    <s v="Competitividad y proyección internacional"/>
    <x v="12"/>
    <x v="45"/>
    <s v="Competitividad y proyección internacional"/>
    <x v="0"/>
    <x v="1"/>
    <x v="1"/>
    <n v="11"/>
    <m/>
    <m/>
    <x v="0"/>
    <s v="En ejecución_x000a_Se modifica en la versión 4 por solicitud de la Dirección Técnica"/>
    <m/>
    <x v="10"/>
    <m/>
    <m/>
    <m/>
    <m/>
    <x v="2"/>
  </r>
  <r>
    <x v="64"/>
    <x v="3"/>
    <s v="diseñar una estrategia de especialización inteligente para la región articulada a la definida para Bogotá-Cundinamarca e implementar uno de los proyectos priorizados en la agenda regional "/>
    <x v="72"/>
    <x v="1"/>
    <s v="Competitividad y proyección internacional"/>
    <x v="1"/>
    <x v="1"/>
    <x v="1"/>
    <s v="N/A"/>
    <m/>
    <m/>
    <x v="0"/>
    <s v="Se modifica en la versión 4 por solicitud de la Dirección Técnica_x000a_Se elimina en la versión 8 a solicitud de la Dirección Técnica"/>
    <m/>
    <x v="0"/>
    <m/>
    <m/>
    <m/>
    <m/>
    <x v="1"/>
  </r>
  <r>
    <x v="65"/>
    <x v="3"/>
    <s v="Articular los territorios de la Región Central a través del desarrollo de productos turisticos asociados al turismo de naturaleza"/>
    <x v="73"/>
    <x v="1"/>
    <s v="Competitividad y proyección internacional"/>
    <x v="1"/>
    <x v="1"/>
    <x v="1"/>
    <s v="N/A"/>
    <m/>
    <m/>
    <x v="0"/>
    <s v="Se modifica en la versión 4 por solicitud de la Dirección Técnica_x000a_Se elimina en la versión 8 a solicitud de la Dirección Técnica"/>
    <m/>
    <x v="0"/>
    <m/>
    <m/>
    <m/>
    <m/>
    <x v="1"/>
  </r>
  <r>
    <x v="66"/>
    <x v="3"/>
    <s v="2 Productos Turísticos Regionales en implementación"/>
    <x v="74"/>
    <x v="46"/>
    <s v="Competitividad y proyección internacional"/>
    <x v="0"/>
    <x v="0"/>
    <x v="0"/>
    <n v="9"/>
    <d v="2017-03-06T00:00:00"/>
    <d v="2017-03-13T00:00:00"/>
    <x v="0"/>
    <s v="CONTRATADO: MIGUEL RAMIRO GIL_x000a_CONTRATO 057-17 _x000a_6 MESES X 4 MILLONES_x000a_ Se crea en la versión 4 por solicitud de la Dirección Técnica"/>
    <n v="24000000"/>
    <x v="0"/>
    <m/>
    <n v="6"/>
    <n v="3"/>
    <n v="2017"/>
    <x v="0"/>
  </r>
  <r>
    <x v="66"/>
    <x v="3"/>
    <s v="2 Productos Turísticos Regionales en implementación"/>
    <x v="75"/>
    <x v="47"/>
    <s v="Competitividad y proyección internacional"/>
    <x v="0"/>
    <x v="0"/>
    <x v="0"/>
    <n v="2"/>
    <d v="2017-10-25T00:00:00"/>
    <d v="2017-11-01T00:00:00"/>
    <x v="0"/>
    <s v="Adicionado: Miguel Gil Cto 057-17"/>
    <n v="7866667"/>
    <x v="11"/>
    <m/>
    <n v="25"/>
    <n v="10"/>
    <n v="2017"/>
    <x v="0"/>
  </r>
  <r>
    <x v="67"/>
    <x v="3"/>
    <s v="2 Productos Turísticos Regionales en implementación"/>
    <x v="76"/>
    <x v="48"/>
    <s v="Competitividad y proyección internacional"/>
    <x v="0"/>
    <x v="2"/>
    <x v="7"/>
    <n v="1"/>
    <d v="2017-12-01T00:00:00"/>
    <d v="2017-12-05T00:00:00"/>
    <x v="0"/>
    <s v="CONTRATADO: INGEART CV S.A.S CTO 117-17_x000a_Se crea en la versión 8 a solicitud de la Dirección Técnica"/>
    <n v="292909688"/>
    <x v="12"/>
    <s v="Natalia Naranjo"/>
    <n v="15"/>
    <n v="9"/>
    <n v="2017"/>
    <x v="0"/>
  </r>
  <r>
    <x v="47"/>
    <x v="3"/>
    <s v="2 Productos Turísticos Regionales en implementación"/>
    <x v="77"/>
    <x v="49"/>
    <s v="Competitividad y proyección internacional"/>
    <x v="0"/>
    <x v="0"/>
    <x v="6"/>
    <n v="3"/>
    <d v="2017-08-11T00:00:00"/>
    <d v="2017-09-30T00:00:00"/>
    <x v="1"/>
    <s v="CONTRATADO: TV ANDINA CANAL 13 CTO 099-17"/>
    <n v="55000000"/>
    <x v="0"/>
    <s v="Claudia Paez"/>
    <n v="11"/>
    <n v="8"/>
    <n v="2017"/>
    <x v="0"/>
  </r>
  <r>
    <x v="47"/>
    <x v="0"/>
    <s v="1 Proyecto Páramos en ejecución"/>
    <x v="56"/>
    <x v="50"/>
    <s v="Sustentabilidad ecosistémica y manejo de riesgos"/>
    <x v="0"/>
    <x v="0"/>
    <x v="6"/>
    <s v="N/A"/>
    <d v="2017-11-09T00:00:00"/>
    <d v="2017-11-15T00:00:00"/>
    <x v="0"/>
    <s v="CONTRATADO: TV ANDINA CANAL 13 CTO 099-17"/>
    <n v="21830134"/>
    <x v="0"/>
    <m/>
    <n v="8"/>
    <n v="11"/>
    <n v="2017"/>
    <x v="0"/>
  </r>
  <r>
    <x v="68"/>
    <x v="3"/>
    <s v="2 Productos Turísticos Regionales en implementación"/>
    <x v="78"/>
    <x v="1"/>
    <s v="Competitividad y proyección internacional"/>
    <x v="0"/>
    <x v="6"/>
    <x v="3"/>
    <n v="2.5"/>
    <d v="2017-08-15T00:00:00"/>
    <d v="2017-10-02T00:00:00"/>
    <x v="0"/>
    <s v="Se crea en la versión 8 a solicitud de la Dirección Técnica_x000a_Se elimina en la versión 10 a solicitud de la Dirección Técnica"/>
    <m/>
    <x v="0"/>
    <s v="Natalia Naranjo"/>
    <n v="15"/>
    <n v="8"/>
    <n v="2017"/>
    <x v="1"/>
  </r>
  <r>
    <x v="69"/>
    <x v="3"/>
    <s v="2 Productos Turísticos Regionales en implementación"/>
    <x v="79"/>
    <x v="51"/>
    <s v="Competitividad y proyección internacional"/>
    <x v="0"/>
    <x v="5"/>
    <x v="5"/>
    <n v="3.5"/>
    <d v="2017-08-11T00:00:00"/>
    <d v="2017-10-10T00:00:00"/>
    <x v="0"/>
    <s v="CONTRATADO: CONSORCIO FAME CTO 104-17_x000a_Se crea en la versión 8 a solicitud de la Dirección Técnica"/>
    <n v="69656650"/>
    <x v="13"/>
    <s v="Angela Moreno"/>
    <n v="11"/>
    <n v="8"/>
    <n v="2017"/>
    <x v="0"/>
  </r>
  <r>
    <x v="70"/>
    <x v="3"/>
    <s v="2 Productos Turísticos Regionales en implementación"/>
    <x v="80"/>
    <x v="52"/>
    <s v="Competitividad y proyección internacional"/>
    <x v="0"/>
    <x v="0"/>
    <x v="0"/>
    <n v="5"/>
    <d v="2017-07-23T00:00:00"/>
    <d v="2017-08-01T00:00:00"/>
    <x v="0"/>
    <s v="CONTRATADO: JUAN JOSÉ LAMAR MONTOYA _x000a_7 MILLONE SX 4 MESES CTO 075-17_x000a_Se crea en la versión 8 a solicitud de la Dirección Técnica"/>
    <n v="28000000"/>
    <x v="14"/>
    <m/>
    <n v="23"/>
    <n v="7"/>
    <n v="2017"/>
    <x v="0"/>
  </r>
  <r>
    <x v="70"/>
    <x v="3"/>
    <s v="2 Productos Turísticos Regionales en implementación"/>
    <x v="81"/>
    <x v="53"/>
    <s v="Competitividad y proyección internacional"/>
    <x v="0"/>
    <x v="0"/>
    <x v="0"/>
    <n v="1"/>
    <d v="2017-11-23T00:00:00"/>
    <d v="2017-12-01T00:00:00"/>
    <x v="0"/>
    <m/>
    <m/>
    <x v="14"/>
    <m/>
    <n v="23"/>
    <n v="11"/>
    <n v="2017"/>
    <x v="3"/>
  </r>
  <r>
    <x v="71"/>
    <x v="3"/>
    <s v="1 Perfil de proyecto formulado entorno a la ruta de integración para la PAZ"/>
    <x v="82"/>
    <x v="1"/>
    <s v="Competitividad y proyección internacional"/>
    <x v="0"/>
    <x v="5"/>
    <x v="5"/>
    <s v="N/A"/>
    <s v="N/A"/>
    <s v="N/A"/>
    <x v="0"/>
    <s v="Se crea en la versión 8 a solicitud de la Dirección Técnica"/>
    <m/>
    <x v="0"/>
    <s v="Natalia Naranjo"/>
    <n v="15"/>
    <n v="10"/>
    <n v="2017"/>
    <x v="1"/>
  </r>
  <r>
    <x v="72"/>
    <x v="3"/>
    <s v="1 Perfil de proyecto formulado entorno a la ruta de integración para la PAZ"/>
    <x v="83"/>
    <x v="54"/>
    <s v="Competitividad y proyección internacional"/>
    <x v="0"/>
    <x v="6"/>
    <x v="3"/>
    <n v="2"/>
    <d v="2017-09-15T00:00:00"/>
    <d v="2017-11-01T00:00:00"/>
    <x v="0"/>
    <s v="CONTRATADO: FUNDACIÓN PARA EL DESARROLLO Y FORTALECIMIENTO TERRITORIAL VISIÓN LOCAL CTO: 114-17_x000a_Se crea en la versión 8 a solicitud de la Dirección Técnica"/>
    <n v="150000000"/>
    <x v="0"/>
    <s v="Natalia Naranjo"/>
    <n v="15"/>
    <n v="9"/>
    <n v="2017"/>
    <x v="0"/>
  </r>
  <r>
    <x v="72"/>
    <x v="3"/>
    <s v="1 Perfil de proyecto formulado entorno a la ruta de integración para la PAZ"/>
    <x v="84"/>
    <x v="55"/>
    <s v="Competitividad y proyección internacional"/>
    <x v="0"/>
    <x v="3"/>
    <x v="3"/>
    <n v="1"/>
    <d v="2017-12-15T00:00:00"/>
    <d v="2017-12-15T00:00:00"/>
    <x v="0"/>
    <m/>
    <m/>
    <x v="15"/>
    <m/>
    <n v="15"/>
    <n v="12"/>
    <n v="2017"/>
    <x v="3"/>
  </r>
  <r>
    <x v="73"/>
    <x v="3"/>
    <s v="1 Perfil de proyecto formulado entorno a la ruta de integración para la PAZ"/>
    <x v="85"/>
    <x v="56"/>
    <s v="Competitividad y proyección internacional"/>
    <x v="0"/>
    <x v="0"/>
    <x v="0"/>
    <n v="4"/>
    <d v="2017-08-22T00:00:00"/>
    <d v="2017-09-01T00:00:00"/>
    <x v="0"/>
    <s v="CONTRATADO: Jorge Mauricio Bonilla CTO 086-17_x000a_6.5 MILLONES X 4 MESES_x000a_Se crea en la versión 8 a solicitud de la Dirección Técnica"/>
    <n v="26000000"/>
    <x v="0"/>
    <m/>
    <n v="22"/>
    <n v="8"/>
    <n v="2017"/>
    <x v="0"/>
  </r>
  <r>
    <x v="74"/>
    <x v="3"/>
    <s v="1 Acción de fortalecimiento de las Comisiones Regionales de Competitividad"/>
    <x v="86"/>
    <x v="1"/>
    <s v="Competitividad y proyección internacional"/>
    <x v="0"/>
    <x v="0"/>
    <x v="8"/>
    <n v="4"/>
    <d v="2017-08-30T00:00:00"/>
    <d v="2017-09-15T00:00:00"/>
    <x v="0"/>
    <s v="Se crea en la versión 8 a solicitud de la Dirección Técnica"/>
    <m/>
    <x v="0"/>
    <s v="Claudia Paez"/>
    <n v="30"/>
    <n v="8"/>
    <n v="2017"/>
    <x v="1"/>
  </r>
  <r>
    <x v="75"/>
    <x v="3"/>
    <s v="1 Perfil de proyecto formulado entorno a la ruta de integración para la PAZ"/>
    <x v="87"/>
    <x v="56"/>
    <s v="Competitividad y proyección internacional"/>
    <x v="0"/>
    <x v="0"/>
    <x v="0"/>
    <n v="4"/>
    <d v="2017-08-15T00:00:00"/>
    <d v="2017-09-01T00:00:00"/>
    <x v="0"/>
    <s v="CONTRATADO: JUAN NICOLÁS SÁNCHEZ SILVA CTO 080-17_x000a_4 MESES X 6.5 MILLONES_x000a_Se crea en la versión 9 a solicitud de la Dirección Técnica"/>
    <n v="26000000"/>
    <x v="0"/>
    <m/>
    <n v="15"/>
    <n v="8"/>
    <n v="2017"/>
    <x v="0"/>
  </r>
  <r>
    <x v="76"/>
    <x v="3"/>
    <s v="1 Perfil de proyecto formulado entorno a la ruta de integración para la PAZ"/>
    <x v="88"/>
    <x v="23"/>
    <s v="Competitividad y proyección internacional"/>
    <x v="0"/>
    <x v="0"/>
    <x v="0"/>
    <n v="4"/>
    <d v="2017-08-15T00:00:00"/>
    <d v="2017-09-01T00:00:00"/>
    <x v="0"/>
    <s v="CONTATADO: Osman Diaz CTO 085-17_x000a_4.5 MILLONES X 4 MESES_x000a_Se crea en la versión 9 a solicitud de la Dirección Técnica"/>
    <n v="18000000"/>
    <x v="0"/>
    <m/>
    <n v="15"/>
    <n v="8"/>
    <n v="2017"/>
    <x v="0"/>
  </r>
  <r>
    <x v="77"/>
    <x v="3"/>
    <s v="2 Productos Turísticos Regionales en implementación"/>
    <x v="89"/>
    <x v="57"/>
    <s v="Competitividad y proyección internacional"/>
    <x v="0"/>
    <x v="4"/>
    <x v="9"/>
    <n v="1"/>
    <d v="2017-12-01T00:00:00"/>
    <d v="2017-12-05T00:00:00"/>
    <x v="0"/>
    <s v="CONTRATADO: MARLY YANIR DAZA ZEA CTO 116-17 _x000a_Se crea en la versión 9 a solicitud de la Dirección Técnica"/>
    <n v="20000000"/>
    <x v="0"/>
    <s v="Natalia Naranjo"/>
    <n v="8"/>
    <n v="9"/>
    <n v="2017"/>
    <x v="0"/>
  </r>
  <r>
    <x v="77"/>
    <x v="3"/>
    <s v="2 Productos Turísticos Regionales en implementación"/>
    <x v="90"/>
    <x v="58"/>
    <s v="Competitividad y proyección internacional"/>
    <x v="0"/>
    <x v="3"/>
    <x v="9"/>
    <n v="1"/>
    <d v="2017-12-15T00:00:00"/>
    <d v="2017-12-15T00:00:00"/>
    <x v="0"/>
    <m/>
    <m/>
    <x v="16"/>
    <m/>
    <n v="15"/>
    <n v="12"/>
    <n v="2017"/>
    <x v="3"/>
  </r>
  <r>
    <x v="78"/>
    <x v="3"/>
    <s v="2 Productos Turísticos Regionales en implementación"/>
    <x v="91"/>
    <x v="1"/>
    <s v="Competitividad y proyección internacional"/>
    <x v="0"/>
    <x v="5"/>
    <x v="5"/>
    <s v="N/A"/>
    <s v="N/A"/>
    <s v="N/A"/>
    <x v="0"/>
    <m/>
    <m/>
    <x v="0"/>
    <m/>
    <n v="30"/>
    <n v="9"/>
    <n v="2017"/>
    <x v="1"/>
  </r>
  <r>
    <x v="79"/>
    <x v="3"/>
    <s v="1 Perfil de proyecto formulado entorno a la ruta de integración para la PAZ"/>
    <x v="92"/>
    <x v="59"/>
    <s v="Competitividad y proyección internacional"/>
    <x v="0"/>
    <x v="0"/>
    <x v="0"/>
    <n v="2.5"/>
    <d v="2017-10-02T00:00:00"/>
    <d v="2017-10-09T00:00:00"/>
    <x v="0"/>
    <s v="CONTRATADO: ERIKA VIVIANA CAJICÁ COLLAZOS CTO 110-17"/>
    <n v="4320000"/>
    <x v="17"/>
    <m/>
    <n v="2"/>
    <n v="10"/>
    <n v="2017"/>
    <x v="0"/>
  </r>
  <r>
    <x v="80"/>
    <x v="3"/>
    <s v="2 Productos Turísticos Regionales en implementación"/>
    <x v="57"/>
    <x v="60"/>
    <s v="Competitividad y proyección internacional"/>
    <x v="0"/>
    <x v="0"/>
    <x v="0"/>
    <n v="1.5"/>
    <d v="2017-11-09T00:00:00"/>
    <d v="2017-11-15T00:00:00"/>
    <x v="0"/>
    <s v="CONTRATADO: FUNDACIÓN CULTURAL BALLET FOLCLÓRICO TIERRA COLOMBIANA CTO 115-17"/>
    <n v="32763230"/>
    <x v="0"/>
    <m/>
    <n v="9"/>
    <n v="11"/>
    <n v="2017"/>
    <x v="0"/>
  </r>
  <r>
    <x v="81"/>
    <x v="3"/>
    <s v="2 Productos Turísticos Regionales en implementación"/>
    <x v="93"/>
    <x v="61"/>
    <s v="Competitividad y proyección internacional"/>
    <x v="0"/>
    <x v="7"/>
    <x v="3"/>
    <n v="1"/>
    <d v="2017-11-09T00:00:00"/>
    <d v="2017-11-15T00:00:00"/>
    <x v="1"/>
    <s v="CONTRATADO: CANAL REGIONAL  DE TELEVISIÓN TEVEANDINA LTDA – TEVEANDINA LTDA CTO 112-17"/>
    <n v="41490572"/>
    <x v="0"/>
    <m/>
    <n v="9"/>
    <n v="11"/>
    <n v="2017"/>
    <x v="0"/>
  </r>
  <r>
    <x v="82"/>
    <x v="4"/>
    <s v="1 Propuesta de articulación de instrumentos de ordenamiento territorial"/>
    <x v="94"/>
    <x v="24"/>
    <s v="Gobernanza y buen gobierno"/>
    <x v="0"/>
    <x v="0"/>
    <x v="0"/>
    <n v="8"/>
    <d v="2017-03-07T00:00:00"/>
    <d v="2017-03-13T00:00:00"/>
    <x v="0"/>
    <s v="CONTRATADO: LUIS GUILERMO VACA_x000a_6 MESES X 5¨5 MILLONES"/>
    <n v="33000000"/>
    <x v="0"/>
    <m/>
    <n v="7"/>
    <n v="3"/>
    <n v="2017"/>
    <x v="0"/>
  </r>
  <r>
    <x v="82"/>
    <x v="4"/>
    <s v="1 Propuesta de articulación de instrumentos de ordenamiento territorial"/>
    <x v="95"/>
    <x v="3"/>
    <s v="Gobernanza y buen gobierno"/>
    <x v="0"/>
    <x v="0"/>
    <x v="0"/>
    <n v="3"/>
    <d v="2017-09-01T00:00:00"/>
    <d v="2017-09-08T00:00:00"/>
    <x v="0"/>
    <s v="CONTRATADO: LUIS GUILERMO VACA_x000a_Se crea en la versión 8 por solicitud de la Dirección Técnica"/>
    <n v="16500000"/>
    <x v="0"/>
    <m/>
    <n v="1"/>
    <n v="9"/>
    <n v="2017"/>
    <x v="0"/>
  </r>
  <r>
    <x v="83"/>
    <x v="4"/>
    <s v="1 Propuesta de articulación de instrumentos de ordenamiento territorial"/>
    <x v="96"/>
    <x v="62"/>
    <s v="Gobernanza y buen gobierno"/>
    <x v="0"/>
    <x v="0"/>
    <x v="0"/>
    <n v="11"/>
    <d v="2017-02-01T00:00:00"/>
    <d v="2017-02-13T00:00:00"/>
    <x v="0"/>
    <s v="CONTRATADO: VIVIANA BELTRÁN_x000a_6 MESES X 3,6 MILLONES"/>
    <n v="21600000"/>
    <x v="0"/>
    <m/>
    <n v="1"/>
    <n v="2"/>
    <n v="2017"/>
    <x v="0"/>
  </r>
  <r>
    <x v="83"/>
    <x v="4"/>
    <s v="1 Propuesta de articulación de instrumentos de ordenamiento territorial"/>
    <x v="97"/>
    <x v="63"/>
    <s v="Gobernanza y buen gobierno"/>
    <x v="0"/>
    <x v="0"/>
    <x v="0"/>
    <n v="3"/>
    <d v="2017-08-02T00:00:00"/>
    <d v="2017-08-05T00:00:00"/>
    <x v="0"/>
    <s v="ADICIONADO: VIVIANA BELTRÁN"/>
    <n v="10800000"/>
    <x v="0"/>
    <m/>
    <n v="2"/>
    <n v="8"/>
    <n v="2017"/>
    <x v="0"/>
  </r>
  <r>
    <x v="84"/>
    <x v="4"/>
    <s v="1 Documento de lineamientos para la articulación del Infraestructura de Datos Espaciales Regionales  (IDER) en los Departamentos de Boyacá, Meta y Tolima"/>
    <x v="98"/>
    <x v="24"/>
    <s v="Gobernanza y buen gobierno"/>
    <x v="0"/>
    <x v="0"/>
    <x v="0"/>
    <n v="11"/>
    <d v="2017-01-20T00:00:00"/>
    <d v="2017-02-10T00:00:00"/>
    <x v="0"/>
    <s v="CONTRATADO: ANA JULIER FONSECA_x000a_7 MESES X 5´5 MILLONES"/>
    <n v="33000000"/>
    <x v="0"/>
    <m/>
    <n v="20"/>
    <n v="1"/>
    <n v="2017"/>
    <x v="0"/>
  </r>
  <r>
    <x v="85"/>
    <x v="4"/>
    <s v="1 Propuesta de articulación de instrumentos de ordenamiento territoria"/>
    <x v="99"/>
    <x v="64"/>
    <s v="Gobernanza y buen gobierno"/>
    <x v="0"/>
    <x v="0"/>
    <x v="0"/>
    <n v="11"/>
    <d v="2017-02-01T00:00:00"/>
    <d v="2017-02-13T00:00:00"/>
    <x v="0"/>
    <s v="CONTRATADO: JAIME FLÓREZ_x000a_6 MESES X 6 ´8 MILLONES_x000a_Se modifica en la versión 4 por solicitud de la Dirección Técnica"/>
    <n v="40800000"/>
    <x v="0"/>
    <m/>
    <n v="1"/>
    <n v="2"/>
    <n v="2017"/>
    <x v="0"/>
  </r>
  <r>
    <x v="86"/>
    <x v="4"/>
    <s v="Articular la planeación del ordenamiento y desarrollo territorial de la Región Central"/>
    <x v="100"/>
    <x v="1"/>
    <s v="Gobernanza y buen gobierno"/>
    <x v="1"/>
    <x v="1"/>
    <x v="1"/>
    <s v="N/A"/>
    <m/>
    <m/>
    <x v="0"/>
    <s v="Se modifica en la versión 3 por solicitud de la Dirección Técnica"/>
    <m/>
    <x v="0"/>
    <m/>
    <m/>
    <m/>
    <m/>
    <x v="1"/>
  </r>
  <r>
    <x v="87"/>
    <x v="4"/>
    <s v="1 Documento de lineamientos para la articulación del Infraestructura de Datos Espaciales Regionales  (IDER) en los Departamentos de Boyacá, Meta y Tolima"/>
    <x v="101"/>
    <x v="65"/>
    <s v="Gobernanza y buen gobierno"/>
    <x v="0"/>
    <x v="0"/>
    <x v="0"/>
    <n v="6"/>
    <d v="2017-04-14T00:00:00"/>
    <d v="2017-05-05T00:00:00"/>
    <x v="0"/>
    <s v="CONTRATADO: CARLOS FAJARDO_x000a_6 MESES X 8 MILLONES_x000a_Se modifica en las versiones 3 y 4 por solicitud de la Dirección Técnica"/>
    <n v="31000000"/>
    <x v="0"/>
    <m/>
    <n v="14"/>
    <n v="4"/>
    <n v="2017"/>
    <x v="0"/>
  </r>
  <r>
    <x v="88"/>
    <x v="4"/>
    <s v="Gobernanza y buen gobierno"/>
    <x v="12"/>
    <x v="66"/>
    <s v="Gobernanza y buen gobierno"/>
    <x v="0"/>
    <x v="1"/>
    <x v="1"/>
    <n v="11"/>
    <m/>
    <m/>
    <x v="0"/>
    <s v="En ejecución_x000a_Se modifica en la versión 4 por solicitud de la Dirección Técnica"/>
    <n v="1500000"/>
    <x v="18"/>
    <m/>
    <m/>
    <m/>
    <m/>
    <x v="2"/>
  </r>
  <r>
    <x v="89"/>
    <x v="4"/>
    <s v="Articular la planeación del ordenamiento y desarrollo territorial de la Región Central"/>
    <x v="102"/>
    <x v="43"/>
    <s v="Gobernanza y buen gobierno"/>
    <x v="0"/>
    <x v="0"/>
    <x v="0"/>
    <n v="6"/>
    <d v="2017-06-15T00:00:00"/>
    <d v="2017-07-05T00:00:00"/>
    <x v="0"/>
    <s v="CONTRATADO: MIGUEL PINILLA VALDIVIESO  CTO 65-17_x000a_Se crea en la versión 4 por solicitud de la Dirección Técnica"/>
    <n v="38133333"/>
    <x v="19"/>
    <m/>
    <n v="15"/>
    <n v="6"/>
    <n v="2017"/>
    <x v="0"/>
  </r>
  <r>
    <x v="90"/>
    <x v="4"/>
    <s v="1 Instancia de participación implementada con 3 tipos de actores vinculados"/>
    <x v="103"/>
    <x v="67"/>
    <s v="Gobernanza y buen gobierno"/>
    <x v="0"/>
    <x v="0"/>
    <x v="0"/>
    <n v="9"/>
    <d v="2017-03-10T00:00:00"/>
    <d v="2017-03-13T00:00:00"/>
    <x v="0"/>
    <s v="CONTRATADO: HECTOR RIVERA _x000a_Se crea en la versión 4 por solicitud de la Dirección Técnica"/>
    <n v="27000000"/>
    <x v="0"/>
    <m/>
    <n v="10"/>
    <n v="3"/>
    <n v="2017"/>
    <x v="0"/>
  </r>
  <r>
    <x v="91"/>
    <x v="4"/>
    <s v="Articular la planeación del ordenamiento y desarrollo territorial de la Región Central"/>
    <x v="104"/>
    <x v="67"/>
    <s v="Gobernanza y buen gobierno"/>
    <x v="0"/>
    <x v="0"/>
    <x v="0"/>
    <n v="6"/>
    <d v="2017-03-10T00:00:00"/>
    <d v="2017-04-04T00:00:00"/>
    <x v="0"/>
    <s v="CONTRATADO:  EDWIN GUEVARA VALENCIA_x000a_CONTRATO: 052-2017_x000a_Se crea en la versión 4 por solicitud de la Dirección Técnica"/>
    <n v="27000000"/>
    <x v="0"/>
    <m/>
    <n v="10"/>
    <n v="3"/>
    <n v="2017"/>
    <x v="0"/>
  </r>
  <r>
    <x v="92"/>
    <x v="4"/>
    <s v="1 Instancia de participación implementada con 3 tipos de actores vinculados"/>
    <x v="105"/>
    <x v="67"/>
    <s v="Gobernanza y buen gobierno"/>
    <x v="0"/>
    <x v="0"/>
    <x v="0"/>
    <n v="9"/>
    <d v="2017-03-10T00:00:00"/>
    <d v="2017-03-13T00:00:00"/>
    <x v="0"/>
    <s v="CONTRATADO: EDWIN  CASTRO_x000a_CONTRATO 058-17_x000a_ 6 MESES X 4,5 MILLONES_x000a_Se crea en la versión 4 por solicitud de la Dirección Técnica"/>
    <n v="27000000"/>
    <x v="0"/>
    <m/>
    <n v="10"/>
    <n v="3"/>
    <n v="2017"/>
    <x v="0"/>
  </r>
  <r>
    <x v="93"/>
    <x v="4"/>
    <s v="1 Instancia de participación implementada con 3 tipos de actores vinculados"/>
    <x v="106"/>
    <x v="24"/>
    <s v="Gobernanza y buen gobierno"/>
    <x v="0"/>
    <x v="0"/>
    <x v="0"/>
    <n v="6"/>
    <d v="2017-03-10T00:00:00"/>
    <d v="2017-03-13T00:00:00"/>
    <x v="0"/>
    <s v="Se crea en la versión 4 por solicitud de la Dirección Técnica_x000a_LUIS ALEJANDRO GUTIÉRREZ_x000a_6 MESES X 5¨5 MILLONES"/>
    <n v="33000000"/>
    <x v="0"/>
    <m/>
    <n v="10"/>
    <n v="3"/>
    <n v="2017"/>
    <x v="0"/>
  </r>
  <r>
    <x v="94"/>
    <x v="4"/>
    <s v="1 Instancia de participación implementada con 3 tipos de actores vinculados"/>
    <x v="107"/>
    <x v="4"/>
    <s v="Gobernanza y buen gobierno"/>
    <x v="0"/>
    <x v="0"/>
    <x v="0"/>
    <n v="9"/>
    <d v="2017-03-10T00:00:00"/>
    <d v="2017-03-13T00:00:00"/>
    <x v="0"/>
    <s v="CONTRATADO: CLAUDIA ALEJANDRA SÁNCHEZ BERMUDEZ_x000a_Se crea en la versión 4 por solicitud de la Dirección Técnica"/>
    <n v="30000000"/>
    <x v="0"/>
    <m/>
    <n v="10"/>
    <n v="3"/>
    <n v="2017"/>
    <x v="0"/>
  </r>
  <r>
    <x v="94"/>
    <x v="4"/>
    <s v="1 Instancia de participación implementada con 3 tipos de actores vinculados"/>
    <x v="108"/>
    <x v="68"/>
    <s v="Gobernanza y buen gobierno"/>
    <x v="0"/>
    <x v="0"/>
    <x v="0"/>
    <n v="3"/>
    <d v="2017-09-01T00:00:00"/>
    <d v="2017-09-16T00:00:00"/>
    <x v="0"/>
    <s v="CONTRATADO: CLAUDIA ALEJANDRA SÁNCHEZ BERMUDEZ_x000a_Se crea en la versión 8 por solicitud de la Dirección Técnica"/>
    <n v="15000000"/>
    <x v="0"/>
    <m/>
    <n v="1"/>
    <n v="9"/>
    <n v="2017"/>
    <x v="0"/>
  </r>
  <r>
    <x v="95"/>
    <x v="4"/>
    <s v="1 Instancia de participación implementada con 3 tipos de actores vinculados"/>
    <x v="109"/>
    <x v="4"/>
    <s v="Gobernanza y buen gobierno"/>
    <x v="0"/>
    <x v="0"/>
    <x v="0"/>
    <n v="6"/>
    <d v="2017-03-10T00:00:00"/>
    <d v="2017-04-03T00:00:00"/>
    <x v="0"/>
    <s v="CONTRATADO: RICHARD COLORADO CUESTAS_x000a_CONTRATO 051-2017_x000a_ Se crea en la versión 4 por solicitud de la Dirección Técnica"/>
    <n v="30000000"/>
    <x v="0"/>
    <m/>
    <n v="10"/>
    <n v="3"/>
    <n v="2017"/>
    <x v="0"/>
  </r>
  <r>
    <x v="96"/>
    <x v="4"/>
    <s v="1 Instancia de participación implementada con 3 tipos de actores vinculados"/>
    <x v="110"/>
    <x v="12"/>
    <s v="Gobernanza y buen gobierno"/>
    <x v="0"/>
    <x v="0"/>
    <x v="0"/>
    <n v="4"/>
    <d v="2017-08-25T00:00:00"/>
    <d v="2017-09-01T00:00:00"/>
    <x v="0"/>
    <s v="CONTRATADO: DIANA PATRICIA BARRERA SORACA_x000a_4.5 MILLONES X HASTA EL 30 DE DIC_x000a_Se crea en la versión 4 por solicitud de la Dirección Técnica_x000a_Se modifica en la versión 8  por solicitud de la Dirección Técnica"/>
    <n v="17400000"/>
    <x v="20"/>
    <m/>
    <n v="25"/>
    <n v="8"/>
    <n v="2017"/>
    <x v="0"/>
  </r>
  <r>
    <x v="97"/>
    <x v="4"/>
    <s v="1 Instancia de participación implementada con 3 tipos de actores vinculados"/>
    <x v="111"/>
    <x v="4"/>
    <s v="Gobernanza y buen gobierno"/>
    <x v="0"/>
    <x v="0"/>
    <x v="0"/>
    <n v="9"/>
    <d v="2017-03-10T00:00:00"/>
    <d v="2017-03-13T00:00:00"/>
    <x v="0"/>
    <s v="CONTRATADO JOSÉ ANTONIO PALMA BACCCA_x000a_6 MESES X 5 MILLONES_x000a_Se crea en la versión 4 por solicitud de la Dirección Técnica"/>
    <n v="30000000"/>
    <x v="0"/>
    <m/>
    <n v="10"/>
    <n v="3"/>
    <n v="2017"/>
    <x v="0"/>
  </r>
  <r>
    <x v="98"/>
    <x v="4"/>
    <s v="1 Instancia de participación implementada con 3 tipos de actores vinculados"/>
    <x v="112"/>
    <x v="4"/>
    <s v="Gobernanza y buen gobierno"/>
    <x v="0"/>
    <x v="0"/>
    <x v="0"/>
    <n v="9"/>
    <d v="2017-03-10T00:00:00"/>
    <d v="2017-03-13T00:00:00"/>
    <x v="0"/>
    <s v="CONTRATADO: JUAN GUILLERMO HERNÁNDEZ LOMBO_x000a_Se crea en la versión 4 por solicitud de la Dirección Técnica"/>
    <n v="30000000"/>
    <x v="0"/>
    <m/>
    <n v="10"/>
    <n v="3"/>
    <n v="2017"/>
    <x v="0"/>
  </r>
  <r>
    <x v="99"/>
    <x v="4"/>
    <s v="Articular la planeación del ordenamiento y desarrollo territorial de la Región Central"/>
    <x v="113"/>
    <x v="22"/>
    <s v="Gobernanza y buen gobierno"/>
    <x v="0"/>
    <x v="0"/>
    <x v="0"/>
    <n v="9"/>
    <d v="2017-03-10T00:00:00"/>
    <d v="2017-03-13T00:00:00"/>
    <x v="0"/>
    <s v="CONTRATADO: JUAN CARLOS ARBELÁEZ_x000a_6 MESES X 6 MILLONES_x000a_Se crea en la versión 4 por solicitud de la Dirección Técnica"/>
    <n v="36000000"/>
    <x v="0"/>
    <m/>
    <n v="10"/>
    <n v="3"/>
    <n v="2017"/>
    <x v="0"/>
  </r>
  <r>
    <x v="100"/>
    <x v="4"/>
    <s v="Articular la planeación del ordenamiento y desarrollo territorial de la Región Central"/>
    <x v="114"/>
    <x v="1"/>
    <s v="Gobernanza y buen gobierno"/>
    <x v="1"/>
    <x v="1"/>
    <x v="1"/>
    <s v="N/A"/>
    <m/>
    <m/>
    <x v="0"/>
    <s v="Se crea en la versión 4 por solicitud de la Dirección Técnica"/>
    <m/>
    <x v="0"/>
    <m/>
    <m/>
    <m/>
    <m/>
    <x v="1"/>
  </r>
  <r>
    <x v="101"/>
    <x v="4"/>
    <s v="Articular la planeación del ordenamiento y desarrollo territorial de la Región Central"/>
    <x v="115"/>
    <x v="1"/>
    <s v="Gobernanza y buen gobierno"/>
    <x v="1"/>
    <x v="1"/>
    <x v="1"/>
    <s v="N/A"/>
    <m/>
    <m/>
    <x v="0"/>
    <s v="Se crea en la versión 4 por solicitud de la Dirección Técnica"/>
    <m/>
    <x v="0"/>
    <m/>
    <m/>
    <m/>
    <m/>
    <x v="1"/>
  </r>
  <r>
    <x v="102"/>
    <x v="4"/>
    <s v="Articular la planeación del ordenamiento y desarrollo territorial de la Región Central"/>
    <x v="116"/>
    <x v="46"/>
    <s v="Gobernanza y buen gobierno"/>
    <x v="0"/>
    <x v="0"/>
    <x v="0"/>
    <n v="3"/>
    <d v="2017-03-10T00:00:00"/>
    <d v="2017-03-13T00:00:00"/>
    <x v="0"/>
    <s v="CONTRATADO DIANA MARCELA MARTINEZ GIRALDO_x000a_CONTRATO 049-2017_x000a_3 MESES X 8 MILLONES _x000a_Se crea en la versión 4 por solicitud de la Dirección Técnica"/>
    <n v="24000000"/>
    <x v="0"/>
    <m/>
    <n v="10"/>
    <n v="3"/>
    <n v="2017"/>
    <x v="0"/>
  </r>
  <r>
    <x v="103"/>
    <x v="4"/>
    <s v="1 Instancia de participación implementada con 3 tipos de actores vinculados"/>
    <x v="117"/>
    <x v="9"/>
    <s v="Gobernanza y buen gobierno"/>
    <x v="0"/>
    <x v="0"/>
    <x v="0"/>
    <n v="6"/>
    <d v="2017-03-10T00:00:00"/>
    <d v="2017-03-13T00:00:00"/>
    <x v="0"/>
    <s v="CONTRATADO: RICHARD HERRERA ROA_x000a_6 MESES X 7 MILLONES_x000a_Se crea en la versión 4 por solicitud de la Dirección Técnica"/>
    <n v="42000000"/>
    <x v="0"/>
    <m/>
    <n v="10"/>
    <n v="3"/>
    <n v="2017"/>
    <x v="0"/>
  </r>
  <r>
    <x v="104"/>
    <x v="4"/>
    <s v="1 Documento de lineamientos para la articulación del Infraestructura de Datos Espaciales Regionales  (IDER) en los Departamentos de Boyacá, Meta y Tolima"/>
    <x v="118"/>
    <x v="5"/>
    <s v="Gobernanza y buen gobierno"/>
    <x v="0"/>
    <x v="0"/>
    <x v="0"/>
    <n v="6"/>
    <d v="2017-07-12T00:00:00"/>
    <d v="2017-09-17T00:00:00"/>
    <x v="0"/>
    <s v="CONTRATADO: CARLOS ANDRES FAJARDO TAPIAS _x000a_CTO 074-17 8 MILLONES_x000a_Se crea en la versión 8 por solicitud de la Dirección Técnica"/>
    <n v="41333333"/>
    <x v="21"/>
    <m/>
    <n v="12"/>
    <n v="7"/>
    <n v="2017"/>
    <x v="0"/>
  </r>
  <r>
    <x v="105"/>
    <x v="4"/>
    <s v="1 Instancia de participación implementada con 3 tipos de actores vinculados"/>
    <x v="119"/>
    <x v="69"/>
    <s v="Gobernanza y buen gobierno"/>
    <x v="0"/>
    <x v="0"/>
    <x v="0"/>
    <n v="2"/>
    <d v="2017-09-13T00:00:00"/>
    <d v="2017-10-01T00:00:00"/>
    <x v="0"/>
    <s v="ADICIONADO:  RICHARD HERRERA ROA CTO 031-17_x000a_14 MILLONES X 2 MESES _x000a_Se crea en la versión 8 por solicitud de la Dirección Técnica"/>
    <n v="14000000"/>
    <x v="0"/>
    <m/>
    <n v="13"/>
    <n v="9"/>
    <n v="2017"/>
    <x v="0"/>
  </r>
  <r>
    <x v="106"/>
    <x v="4"/>
    <s v="1 Instancia de participación implementada con 3 tipos de actores vinculados"/>
    <x v="120"/>
    <x v="70"/>
    <s v="Gobernanza y buen gobierno"/>
    <x v="0"/>
    <x v="0"/>
    <x v="0"/>
    <n v="4"/>
    <d v="2017-09-10T00:00:00"/>
    <d v="2017-09-25T00:00:00"/>
    <x v="0"/>
    <s v="CONTRATADO: JUAN CARLOS ARBELÁEZ MURILLO CTO100-17 _x000a__x000a_Se crea en la versión 8 por solicitud de la Dirección Técnica"/>
    <n v="19933333"/>
    <x v="0"/>
    <m/>
    <n v="10"/>
    <n v="9"/>
    <n v="2017"/>
    <x v="0"/>
  </r>
  <r>
    <x v="107"/>
    <x v="4"/>
    <s v="1 Instancia de participación implementada con 3 tipos de actores vinculados"/>
    <x v="121"/>
    <x v="68"/>
    <s v="Gobernanza y buen gobierno"/>
    <x v="0"/>
    <x v="0"/>
    <x v="0"/>
    <n v="2"/>
    <d v="2017-10-19T00:00:00"/>
    <d v="2017-10-19T00:00:00"/>
    <x v="0"/>
    <s v="Adicionado:RICHARD COLORADO CUESTAS CTO 051-17"/>
    <n v="14500000"/>
    <x v="22"/>
    <m/>
    <n v="19"/>
    <n v="10"/>
    <n v="2017"/>
    <x v="0"/>
  </r>
  <r>
    <x v="108"/>
    <x v="4"/>
    <s v="1 Instancia de participación implementada con 3 tipos de actores vinculados"/>
    <x v="122"/>
    <x v="68"/>
    <s v="Gobernanza y buen gobierno"/>
    <x v="0"/>
    <x v="0"/>
    <x v="0"/>
    <n v="3"/>
    <d v="2017-09-24T00:00:00"/>
    <d v="2017-10-01T00:00:00"/>
    <x v="0"/>
    <s v="Adicionado: José Antonio Palma Bacca cto 047-17_x000a_Se crea en la versión 8 por solicitud de la Dirección Técnica"/>
    <n v="15000000"/>
    <x v="0"/>
    <m/>
    <n v="24"/>
    <n v="9"/>
    <n v="2017"/>
    <x v="0"/>
  </r>
  <r>
    <x v="109"/>
    <x v="4"/>
    <s v="1 Instancia de participación implementada con 3 tipos de actores vinculados"/>
    <x v="123"/>
    <x v="17"/>
    <s v="Gobernanza y buen gobierno"/>
    <x v="0"/>
    <x v="0"/>
    <x v="0"/>
    <n v="2"/>
    <d v="2017-11-02T00:00:00"/>
    <d v="2017-11-15T00:00:00"/>
    <x v="0"/>
    <s v="Adicionado: Edwin Castro 058-17_x000a_Se crea en la versión 8 por solicitud de la Dirección Técnica"/>
    <n v="8850000"/>
    <x v="23"/>
    <m/>
    <n v="2"/>
    <n v="11"/>
    <n v="2017"/>
    <x v="0"/>
  </r>
  <r>
    <x v="110"/>
    <x v="5"/>
    <s v="100% de proyectos de inversión para la vigencia 2017 estructurados derivados del PER"/>
    <x v="124"/>
    <x v="71"/>
    <s v="Fortalecimiento Institucional "/>
    <x v="0"/>
    <x v="0"/>
    <x v="0"/>
    <n v="10"/>
    <d v="2017-02-27T00:00:00"/>
    <d v="2017-03-01T00:00:00"/>
    <x v="0"/>
    <s v="CONTRATADO: PAOLA CÁRDENAS 10 MESES X 9 MILLONES_x000a_Se modifica en las versiones 3 y 4 por solicitud de la Dirección Técnica"/>
    <n v="90000000"/>
    <x v="0"/>
    <m/>
    <n v="27"/>
    <n v="2"/>
    <n v="2017"/>
    <x v="0"/>
  </r>
  <r>
    <x v="111"/>
    <x v="5"/>
    <s v="100% de proyectos de inversión para la vigencia 2017 estructurados derivados del PER"/>
    <x v="125"/>
    <x v="72"/>
    <s v="Fortalecimiento Institucional "/>
    <x v="0"/>
    <x v="0"/>
    <x v="0"/>
    <n v="6"/>
    <d v="2017-02-15T00:00:00"/>
    <d v="2017-03-01T00:00:00"/>
    <x v="2"/>
    <s v="CONTRATADO: ANA MARÍA LEÓN VALENCIA 060-17_x000a_$ 8 MILLONES x 5 MESES"/>
    <n v="40000000"/>
    <x v="0"/>
    <m/>
    <n v="15"/>
    <n v="2"/>
    <n v="2017"/>
    <x v="0"/>
  </r>
  <r>
    <x v="111"/>
    <x v="5"/>
    <s v="100% de proyectos de inversión para la vigencia 2017 estructurados derivados del PER"/>
    <x v="126"/>
    <x v="73"/>
    <s v="Fortalecimiento institucional"/>
    <x v="0"/>
    <x v="0"/>
    <x v="0"/>
    <n v="2.5"/>
    <d v="2017-10-11T00:00:00"/>
    <d v="2017-10-13T00:00:00"/>
    <x v="2"/>
    <s v="CONTRATADO: PATRICIA ABRIL OSPITIA CTO 107-2017"/>
    <n v="13420000"/>
    <x v="24"/>
    <s v="                                                                                                                                                                                                                                                                                                                                                                                                     "/>
    <n v="7"/>
    <n v="10"/>
    <n v="2017"/>
    <x v="0"/>
  </r>
  <r>
    <x v="112"/>
    <x v="5"/>
    <s v="100% de proyectos de inversión para la vigencia 2017 estructurados derivados del PER"/>
    <x v="127"/>
    <x v="1"/>
    <s v="Fortalecimiento Institucional "/>
    <x v="1"/>
    <x v="1"/>
    <x v="1"/>
    <s v="N/A"/>
    <m/>
    <m/>
    <x v="2"/>
    <s v="Se elimina en la versión 8 por solicitud de la Oficina de Planeación"/>
    <m/>
    <x v="0"/>
    <m/>
    <m/>
    <m/>
    <m/>
    <x v="1"/>
  </r>
  <r>
    <x v="113"/>
    <x v="5"/>
    <s v="100% de proyectos de inversión para la vigencia 2017 estructurados derivados del PER"/>
    <x v="128"/>
    <x v="5"/>
    <s v="Fortalecimiento Institucional "/>
    <x v="0"/>
    <x v="0"/>
    <x v="0"/>
    <n v="8"/>
    <d v="2017-02-15T00:00:00"/>
    <d v="2017-03-01T00:00:00"/>
    <x v="2"/>
    <s v="CONTRATADO: NANCY CAROLINA HERNÁNDEZ_x000a_8 MESES X 6 MILLONES_x000a_Se modifica en la versión 4 por solicitud de la Dirección Técnica"/>
    <n v="48000000"/>
    <x v="0"/>
    <m/>
    <n v="15"/>
    <n v="2"/>
    <n v="2017"/>
    <x v="0"/>
  </r>
  <r>
    <x v="113"/>
    <x v="5"/>
    <s v="100% de proyectos de inversión para la vigencia 2017 estructurados derivados del PER"/>
    <x v="129"/>
    <x v="23"/>
    <s v="Fortalecimiento institucional"/>
    <x v="0"/>
    <x v="0"/>
    <x v="0"/>
    <n v="6"/>
    <d v="2017-09-17T00:00:00"/>
    <d v="2017-10-18T00:00:00"/>
    <x v="2"/>
    <s v="ADICIÓN: NANCY CAROLINA HERNÁNDEZ CTO 024-17_x000a_Se crea en la versión 8 a solucitud de la Oficina de Planeación"/>
    <n v="14800000"/>
    <x v="25"/>
    <m/>
    <n v="17"/>
    <n v="9"/>
    <n v="2017"/>
    <x v="0"/>
  </r>
  <r>
    <x v="114"/>
    <x v="5"/>
    <s v="100% de proyectos de inversión para la vigencia 2017 estructurados derivados del PER"/>
    <x v="130"/>
    <x v="43"/>
    <s v="Fortalecimiento Institucional "/>
    <x v="0"/>
    <x v="0"/>
    <x v="0"/>
    <n v="8"/>
    <d v="2017-03-10T00:00:00"/>
    <d v="2017-03-13T00:00:00"/>
    <x v="0"/>
    <s v="CONTRATADO: SOLANLLY CASTELLANOS_x000a_6 MESES X 6`5 MILLONES_x000a_Se modifica en las versiones 2 y 4 por solicitud de la Dirección Técnica"/>
    <n v="39000000"/>
    <x v="0"/>
    <m/>
    <n v="10"/>
    <n v="3"/>
    <n v="2017"/>
    <x v="0"/>
  </r>
  <r>
    <x v="115"/>
    <x v="5"/>
    <s v="100% de proyectos de inversión para la vigencia 2017 estructurados derivados del PER"/>
    <x v="131"/>
    <x v="1"/>
    <s v="Fortalecimiento Institucional "/>
    <x v="1"/>
    <x v="1"/>
    <x v="1"/>
    <s v="N/A"/>
    <m/>
    <m/>
    <x v="2"/>
    <s v="Se elimina en la versión 4 por solicitud de la Dirección Técnica"/>
    <m/>
    <x v="0"/>
    <m/>
    <m/>
    <m/>
    <m/>
    <x v="1"/>
  </r>
  <r>
    <x v="116"/>
    <x v="5"/>
    <s v="100% de proyectos de inversión para la vigencia 2017 estructurados derivados del PER"/>
    <x v="132"/>
    <x v="9"/>
    <s v="Fortalecimiento Institucional "/>
    <x v="0"/>
    <x v="0"/>
    <x v="0"/>
    <n v="6"/>
    <d v="2017-04-15T00:00:00"/>
    <d v="2017-05-01T00:00:00"/>
    <x v="2"/>
    <s v="CONTRATADO: PAOLA STERLING LONDOÑO_x000a_6 MESES X 7 MILLONES_x000a_Se modifica en las versiones 2 y 4 por solicitud de la Oficina de Planeación y la Dirección Técnica, respectivamente"/>
    <n v="42000000"/>
    <x v="0"/>
    <m/>
    <n v="15"/>
    <n v="4"/>
    <n v="2017"/>
    <x v="0"/>
  </r>
  <r>
    <x v="116"/>
    <x v="5"/>
    <s v="100% de proyectos de inversión para la vigencia 2017 estructurados derivados del PER"/>
    <x v="133"/>
    <x v="74"/>
    <s v="Fortalecimiento Institucional "/>
    <x v="0"/>
    <x v="0"/>
    <x v="0"/>
    <n v="3"/>
    <d v="2017-08-30T00:00:00"/>
    <d v="2017-08-31T00:00:00"/>
    <x v="2"/>
    <s v="ADICIONADO: PAOLA STERLING LONDOÑO CTO 012-17_x000a_21 MILLONES X 3 MESES"/>
    <n v="21000000"/>
    <x v="0"/>
    <m/>
    <n v="30"/>
    <n v="8"/>
    <n v="2017"/>
    <x v="0"/>
  </r>
  <r>
    <x v="117"/>
    <x v="5"/>
    <s v="100% de proyectos de inversión para la vigencia 2017 estructurados derivados del PER"/>
    <x v="134"/>
    <x v="22"/>
    <s v="Fortalecimiento Institucional "/>
    <x v="0"/>
    <x v="0"/>
    <x v="0"/>
    <n v="6"/>
    <d v="2017-04-15T00:00:00"/>
    <d v="2017-05-01T00:00:00"/>
    <x v="2"/>
    <s v="CONTRATADO: ANDRÉS GÓMEZ_x000a_6 MESES X 6 MILLONES_x000a_Se modifica en la versión 3 por solicitud de la Dirección Técnica"/>
    <n v="36000000"/>
    <x v="0"/>
    <m/>
    <n v="15"/>
    <n v="4"/>
    <n v="2017"/>
    <x v="0"/>
  </r>
  <r>
    <x v="118"/>
    <x v="5"/>
    <s v="100% de proyectos de inversión para la vigencia 2017 estructurados derivados del PER"/>
    <x v="135"/>
    <x v="75"/>
    <s v="Fortalecimiento Institucional "/>
    <x v="0"/>
    <x v="0"/>
    <x v="0"/>
    <n v="8"/>
    <d v="2017-02-15T00:00:00"/>
    <d v="2017-03-01T00:00:00"/>
    <x v="2"/>
    <s v="CONTRATADO: JUAN CAMILO BALSERO _x000a_8 MESES X 4,4 MILLONES_x000a_Se modifica en la versión 2 por solicitud de la Oficina de Planeación"/>
    <n v="35200000"/>
    <x v="0"/>
    <m/>
    <n v="15"/>
    <n v="2"/>
    <n v="2017"/>
    <x v="0"/>
  </r>
  <r>
    <x v="118"/>
    <x v="5"/>
    <s v="100% de proyectos de inversión para la vigencia 2017 estructurados derivados del PER"/>
    <x v="136"/>
    <x v="76"/>
    <s v="Fortalecimiento institucional"/>
    <x v="0"/>
    <x v="0"/>
    <x v="0"/>
    <n v="2"/>
    <d v="2017-09-08T00:00:00"/>
    <d v="2017-10-11T00:00:00"/>
    <x v="2"/>
    <s v="ADICIONADO: JUAN CAMILO BALSERO CTO 020-17_x000a_Se crea en la versión 8 a solucitud de la Oficina de Planeación"/>
    <n v="8800000"/>
    <x v="0"/>
    <m/>
    <n v="8"/>
    <n v="9"/>
    <n v="2017"/>
    <x v="0"/>
  </r>
  <r>
    <x v="119"/>
    <x v="5"/>
    <s v="3 Acciones orientadas a la certificación del Sistema Integrado de Gestión de Calidad "/>
    <x v="137"/>
    <x v="77"/>
    <s v="Fortalecimiento institucional"/>
    <x v="0"/>
    <x v="4"/>
    <x v="3"/>
    <n v="4"/>
    <d v="2017-08-22T00:00:00"/>
    <d v="2017-09-22T00:00:00"/>
    <x v="2"/>
    <s v="CONTRATADO: SGS COLOMBIA S.A.S. CTO 102-17_x000a_Se modifica en la versión 4 por solicitud de la Dirección Técnica_x000a_Se modifica en la versión 8 a solucitud de la Oficina de Planeación"/>
    <n v="8549555"/>
    <x v="0"/>
    <s v="Angela Moreno"/>
    <n v="22"/>
    <n v="8"/>
    <n v="2017"/>
    <x v="0"/>
  </r>
  <r>
    <x v="120"/>
    <x v="5"/>
    <s v="100% de proyectos de inversión para la vigencia 2017 estructurados derivados del PER"/>
    <x v="138"/>
    <x v="57"/>
    <s v="Fortalecimiento institucional"/>
    <x v="0"/>
    <x v="0"/>
    <x v="0"/>
    <n v="2.5"/>
    <d v="2017-04-02T00:00:00"/>
    <d v="2017-04-15T00:00:00"/>
    <x v="2"/>
    <s v="CONTRATADO: DANIEL OBDULIO FRANCO CASTAÑEDA CTO 108-2017"/>
    <n v="15733333"/>
    <x v="26"/>
    <m/>
    <n v="2"/>
    <n v="4"/>
    <n v="2017"/>
    <x v="0"/>
  </r>
  <r>
    <x v="121"/>
    <x v="5"/>
    <s v="3 Acciones orientadas a la certificación del Sistema Integrado de Gestión de Calidad "/>
    <x v="139"/>
    <x v="75"/>
    <s v="Fortalecimiento institucional"/>
    <x v="0"/>
    <x v="0"/>
    <x v="0"/>
    <n v="8"/>
    <d v="2017-02-01T00:00:00"/>
    <d v="2017-02-13T00:00:00"/>
    <x v="2"/>
    <s v="CONTRATADO: CARLOS FERNANDO LEÓN 8 MESES X 4`4 MILLONES_x000a_Se modifica en la versión 4 por solicitud de la Dirección Técnica"/>
    <n v="35200000"/>
    <x v="0"/>
    <m/>
    <n v="1"/>
    <n v="2"/>
    <n v="2017"/>
    <x v="0"/>
  </r>
  <r>
    <x v="121"/>
    <x v="5"/>
    <s v="3 Acciones orientadas a la certificación del Sistema Integrado de Gestión de Calidad "/>
    <x v="140"/>
    <x v="76"/>
    <s v="Fortalecimiento institucional"/>
    <x v="0"/>
    <x v="0"/>
    <x v="0"/>
    <n v="2"/>
    <d v="2017-10-20T00:00:00"/>
    <d v="2017-10-20T00:00:00"/>
    <x v="2"/>
    <s v="ADICIONADO: CTO 025-17 CARLOS FERNANDO LEÓN"/>
    <n v="8800000"/>
    <x v="0"/>
    <m/>
    <n v="20"/>
    <n v="10"/>
    <n v="2017"/>
    <x v="0"/>
  </r>
  <r>
    <x v="122"/>
    <x v="5"/>
    <s v="Implementar una estrategia que permita la prestación del servicio al ciudadano de acuerdo con los lineamientos de gobierno en línea"/>
    <x v="141"/>
    <x v="78"/>
    <s v="Fortalecimiento institucional"/>
    <x v="0"/>
    <x v="0"/>
    <x v="0"/>
    <n v="10"/>
    <d v="2017-02-01T00:00:00"/>
    <d v="2017-02-07T00:00:00"/>
    <x v="3"/>
    <s v="CONTRATADO: JULIETH ALEJANDRA MUÑOZ_x000a_6 MESES X 2 MILLONES"/>
    <n v="12000000"/>
    <x v="0"/>
    <m/>
    <n v="1"/>
    <n v="2"/>
    <n v="2017"/>
    <x v="0"/>
  </r>
  <r>
    <x v="122"/>
    <x v="5"/>
    <s v="Implementar una estrategia que permita la prestación del servicio al ciudadano de acuerdo con los lineamientos de gobierno en línea"/>
    <x v="142"/>
    <x v="79"/>
    <s v="Fortalecimiento institucional"/>
    <x v="0"/>
    <x v="0"/>
    <x v="0"/>
    <n v="4"/>
    <d v="2017-08-07T00:00:00"/>
    <d v="2017-08-07T00:00:00"/>
    <x v="3"/>
    <s v="CONTRATADO: ANLLELO EDUARDO GAVIRIA PINEDA CTO 088-17_x000a_1.7 MILLONES X 4 MESES"/>
    <n v="6800000"/>
    <x v="27"/>
    <m/>
    <n v="7"/>
    <n v="8"/>
    <n v="2017"/>
    <x v="0"/>
  </r>
  <r>
    <x v="122"/>
    <x v="5"/>
    <s v="Implementar una estrategia que permita la prestación del servicio al ciudadano de acuerdo con los lineamientos de gobierno en línea"/>
    <x v="143"/>
    <x v="80"/>
    <s v="Fortalecimiento institucional"/>
    <x v="0"/>
    <x v="0"/>
    <x v="0"/>
    <s v="14 días"/>
    <d v="2017-12-17T00:00:00"/>
    <d v="2017-12-17T00:00:00"/>
    <x v="3"/>
    <m/>
    <m/>
    <x v="28"/>
    <m/>
    <n v="17"/>
    <n v="12"/>
    <n v="2017"/>
    <x v="3"/>
  </r>
  <r>
    <x v="123"/>
    <x v="5"/>
    <s v="100% de apoyo logístico a los procesos misionales y de apoyo de la entidad"/>
    <x v="144"/>
    <x v="16"/>
    <s v="Fortalecimiento institucional"/>
    <x v="0"/>
    <x v="7"/>
    <x v="3"/>
    <n v="4.5"/>
    <d v="2017-07-15T00:00:00"/>
    <d v="2017-08-15T00:00:00"/>
    <x v="3"/>
    <s v="INVERSIONES PUIN S.A.S CTO 094-17_x000a_3 MESES 20 DÍAS_x000a_Se crea en la versión 8 a solucitud de la Dirección Corporativa"/>
    <n v="50000000"/>
    <x v="0"/>
    <s v="Claudia Paez"/>
    <n v="15"/>
    <n v="7"/>
    <n v="2017"/>
    <x v="0"/>
  </r>
  <r>
    <x v="124"/>
    <x v="5"/>
    <s v="Una solución tecnológica y administrativa implementada que soporte los procesos de la entidad"/>
    <x v="145"/>
    <x v="81"/>
    <s v="Fortalecimiento institucional"/>
    <x v="0"/>
    <x v="7"/>
    <x v="3"/>
    <n v="4.5"/>
    <d v="2017-08-08T00:00:00"/>
    <d v="2017-08-22T00:00:00"/>
    <x v="3"/>
    <s v="CONTRATADO: REALTIME CONSULTING &amp; SERVICES S.A.S CTO 103-17_x000a_Se ajusta en Versión 8 Convenio CAR "/>
    <n v="45569682"/>
    <x v="0"/>
    <s v="Angela Moreno"/>
    <n v="8"/>
    <n v="8"/>
    <n v="2017"/>
    <x v="0"/>
  </r>
  <r>
    <x v="125"/>
    <x v="5"/>
    <s v="Una solución tecnológica y administrativa implementada que soporte los procesos de la entidad"/>
    <x v="146"/>
    <x v="82"/>
    <s v="Fortalecimiento institucional"/>
    <x v="0"/>
    <x v="7"/>
    <x v="3"/>
    <n v="7"/>
    <d v="2017-04-17T00:00:00"/>
    <d v="2017-05-12T00:00:00"/>
    <x v="3"/>
    <s v="CONTRATADO: NEX COMPUTER S.A. 061-17_x000a_7 MESES_x000a__x000a_Se modifica valor en la versión 2 por solicitud de la Dirección Corporativa"/>
    <n v="73719800"/>
    <x v="0"/>
    <m/>
    <n v="17"/>
    <n v="4"/>
    <n v="2017"/>
    <x v="0"/>
  </r>
  <r>
    <x v="125"/>
    <x v="5"/>
    <s v="Una solución tecnológica y administrativa implementada que soporte los procesos de la entidad"/>
    <x v="147"/>
    <x v="57"/>
    <s v="Fortalecimiento institucional"/>
    <x v="0"/>
    <x v="3"/>
    <x v="3"/>
    <n v="2"/>
    <d v="2017-10-20T00:00:00"/>
    <d v="2017-12-12T00:00:00"/>
    <x v="3"/>
    <s v="CONTRATADO: NEX COMPUTER S.A. 061-17_x000a_Se crea en la versión 8 a solucitud de la Dirección Corporativa"/>
    <n v="20000000"/>
    <x v="0"/>
    <s v="Angela Moreno"/>
    <n v="20"/>
    <n v="10"/>
    <n v="2017"/>
    <x v="0"/>
  </r>
  <r>
    <x v="126"/>
    <x v="5"/>
    <s v="Una solución tecnológica y administrativa implementada que soporte los procesos de la entidad"/>
    <x v="148"/>
    <x v="83"/>
    <s v="Fortalecimiento institucional"/>
    <x v="0"/>
    <x v="8"/>
    <x v="3"/>
    <n v="12"/>
    <d v="2017-05-10T00:00:00"/>
    <d v="2017-05-24T00:00:00"/>
    <x v="3"/>
    <s v="CONTRATADO: Soporte técnico y renovación - Licencia ArcGIS _x000a_"/>
    <n v="8255226"/>
    <x v="0"/>
    <m/>
    <n v="10"/>
    <n v="5"/>
    <n v="2017"/>
    <x v="0"/>
  </r>
  <r>
    <x v="126"/>
    <x v="5"/>
    <s v="Una solución tecnológica y administrativa implementada que soporte los procesos de la entidad"/>
    <x v="149"/>
    <x v="84"/>
    <s v="Fortalecimiento institucional"/>
    <x v="0"/>
    <x v="8"/>
    <x v="3"/>
    <n v="12"/>
    <d v="2017-05-10T00:00:00"/>
    <d v="2017-05-26T00:00:00"/>
    <x v="3"/>
    <s v="CONTRATADO: Soporte técnico y renovación - Licencia ArcGIS _x000a_"/>
    <n v="14126577"/>
    <x v="0"/>
    <m/>
    <n v="10"/>
    <n v="5"/>
    <n v="2017"/>
    <x v="0"/>
  </r>
  <r>
    <x v="127"/>
    <x v="5"/>
    <s v="Una solución tecnológica y administrativa implementada que soporte los procesos de la entidad"/>
    <x v="150"/>
    <x v="78"/>
    <s v="Fortalecimiento institucional"/>
    <x v="0"/>
    <x v="7"/>
    <x v="3"/>
    <n v="12"/>
    <d v="2017-10-27T00:00:00"/>
    <d v="2017-11-30T00:00:00"/>
    <x v="3"/>
    <s v="Modificado en la versión 8 antes 17 millones ahora 50 millones"/>
    <m/>
    <x v="29"/>
    <s v="Claudia Paez"/>
    <n v="22"/>
    <n v="8"/>
    <n v="2017"/>
    <x v="4"/>
  </r>
  <r>
    <x v="128"/>
    <x v="5"/>
    <s v="Una solución tecnológica y administrativa implementada que soporte los procesos de la entidad"/>
    <x v="151"/>
    <x v="85"/>
    <s v="Fortalecimiento institucional"/>
    <x v="0"/>
    <x v="7"/>
    <x v="6"/>
    <n v="3"/>
    <d v="2017-08-22T00:00:00"/>
    <d v="2017-09-30T00:00:00"/>
    <x v="3"/>
    <m/>
    <n v="72752238"/>
    <x v="0"/>
    <s v="Claudia Paez"/>
    <n v="22"/>
    <n v="8"/>
    <n v="2017"/>
    <x v="5"/>
  </r>
  <r>
    <x v="129"/>
    <x v="5"/>
    <s v="1 Estrategia ejecutada de comunicación que combien acciones de ATL - BTL y Freepress"/>
    <x v="152"/>
    <x v="46"/>
    <s v="Fortalecimiento institucional"/>
    <x v="0"/>
    <x v="0"/>
    <x v="0"/>
    <n v="6"/>
    <d v="2017-01-16T00:00:00"/>
    <d v="2017-02-01T00:00:00"/>
    <x v="1"/>
    <s v="CONTRATADO: MARÍA TERESA BLANCO_x000a_6 MESES X 4 MILLONES_x000a_Se crea en la versión 3 por solicitud de la Dirección Técnica"/>
    <n v="24000000"/>
    <x v="0"/>
    <m/>
    <n v="16"/>
    <n v="1"/>
    <n v="2017"/>
    <x v="0"/>
  </r>
  <r>
    <x v="129"/>
    <x v="5"/>
    <s v="1 Estrategia ejecutada de comunicación que combien acciones de ATL - BTL y Freepress"/>
    <x v="153"/>
    <x v="86"/>
    <s v="Fortalecimiento institucional"/>
    <x v="0"/>
    <x v="0"/>
    <x v="0"/>
    <n v="4"/>
    <d v="2017-07-15T00:00:00"/>
    <d v="2017-08-01T00:00:00"/>
    <x v="1"/>
    <s v="CONTRATADO: MARÍA TERESA BLANCO CTO 081-17_x000a_4 MESES X 4 MILLONES_x000a_Se crea en la versión 3 por solicitud de la Dirección Técnica"/>
    <n v="16000000"/>
    <x v="0"/>
    <m/>
    <n v="15"/>
    <n v="7"/>
    <n v="2017"/>
    <x v="0"/>
  </r>
  <r>
    <x v="130"/>
    <x v="5"/>
    <s v="1 Estrategia ejecutada de comunicación que combien acciones de ATL - BTL y Freepress"/>
    <x v="154"/>
    <x v="87"/>
    <s v="Fortalecimiento institucional"/>
    <x v="0"/>
    <x v="0"/>
    <x v="0"/>
    <n v="11"/>
    <d v="2017-02-01T00:00:00"/>
    <d v="2017-02-13T00:00:00"/>
    <x v="1"/>
    <s v="CONTRATADO: STEVEN RIOS_x000a_7 MESES X 6´5 MILLONES_x000a_Se crea en la versión 3 por solicitud de la Dirección Técnica"/>
    <n v="45500000"/>
    <x v="0"/>
    <m/>
    <n v="1"/>
    <n v="2"/>
    <n v="2017"/>
    <x v="0"/>
  </r>
  <r>
    <x v="130"/>
    <x v="5"/>
    <s v="1 Estrategia ejecutada de comunicación que combien acciones de ATL - BTL y Freepress"/>
    <x v="155"/>
    <x v="88"/>
    <s v="Fortalecimiento institucional"/>
    <x v="0"/>
    <x v="0"/>
    <x v="0"/>
    <n v="3.5"/>
    <d v="2017-09-04T00:00:00"/>
    <d v="2017-09-06T00:00:00"/>
    <x v="1"/>
    <s v="ADICIONADO: Donalson Steven "/>
    <n v="22750000"/>
    <x v="0"/>
    <m/>
    <n v="4"/>
    <n v="9"/>
    <n v="2017"/>
    <x v="0"/>
  </r>
  <r>
    <x v="131"/>
    <x v="5"/>
    <s v="1 Estrategia ejecutada de comunicación que combien acciones de ATL - BTL y Freepress"/>
    <x v="156"/>
    <x v="23"/>
    <s v="Fortalecimiento institucional"/>
    <x v="0"/>
    <x v="0"/>
    <x v="0"/>
    <n v="6"/>
    <d v="2017-02-01T00:00:00"/>
    <d v="2017-02-13T00:00:00"/>
    <x v="1"/>
    <s v="CONTRATADO: OSCAR COLMENARES_x000a_6 MESES X 4´5 MILLONES"/>
    <n v="18000000"/>
    <x v="0"/>
    <m/>
    <n v="1"/>
    <n v="2"/>
    <n v="2017"/>
    <x v="0"/>
  </r>
  <r>
    <x v="132"/>
    <x v="5"/>
    <s v="Fortalecimiento institucional"/>
    <x v="12"/>
    <x v="89"/>
    <s v="Fortalecimiento institucional"/>
    <x v="0"/>
    <x v="1"/>
    <x v="1"/>
    <n v="11"/>
    <m/>
    <m/>
    <x v="2"/>
    <s v="En ejecución_x000a_Ejecutado al 7/06/2017"/>
    <n v="1716875"/>
    <x v="30"/>
    <m/>
    <m/>
    <m/>
    <m/>
    <x v="2"/>
  </r>
  <r>
    <x v="133"/>
    <x v="5"/>
    <s v="Una solución tecnológica y administrativa implementada que soporte los procesos de la entidad"/>
    <x v="157"/>
    <x v="90"/>
    <s v="Fortalecimiento institucional"/>
    <x v="0"/>
    <x v="3"/>
    <x v="3"/>
    <n v="3"/>
    <d v="2017-02-17T00:00:00"/>
    <d v="2017-02-17T00:00:00"/>
    <x v="3"/>
    <s v="CONTRATADO :UNIPAR ALQUILERES DE COMPUTADORES_x000a_Se crea en la versión 2 por solicitud de la Dirección Corporativa"/>
    <n v="21280200"/>
    <x v="0"/>
    <m/>
    <n v="17"/>
    <n v="2"/>
    <n v="2017"/>
    <x v="0"/>
  </r>
  <r>
    <x v="134"/>
    <x v="5"/>
    <s v="1 Estrategia ejecutada de comunicación que combien acciones de ATL - BTL y Freepress"/>
    <x v="158"/>
    <x v="91"/>
    <s v="Fortalecimiento institucional"/>
    <x v="0"/>
    <x v="0"/>
    <x v="0"/>
    <n v="5"/>
    <d v="2017-02-15T00:00:00"/>
    <d v="2017-02-20T00:00:00"/>
    <x v="1"/>
    <s v="CONTRATADO: FABIÁN MOTTA_x000a_5 MESES X 8`2 MILLONES_x000a_Se crea en la versión 3 por solicitud de la Asesora de Comunicaciones_x000a_Se modifica en la versión 4 por solicitud de la Dirección Técnica"/>
    <n v="41000000"/>
    <x v="0"/>
    <m/>
    <n v="15"/>
    <n v="2"/>
    <n v="2017"/>
    <x v="0"/>
  </r>
  <r>
    <x v="134"/>
    <x v="5"/>
    <s v="3 acciones de cambio de imagen instituciona "/>
    <x v="158"/>
    <x v="92"/>
    <s v="Fortalecimiento institucional"/>
    <x v="0"/>
    <x v="0"/>
    <x v="0"/>
    <n v="4"/>
    <d v="2017-08-04T00:00:00"/>
    <d v="2017-08-10T00:00:00"/>
    <x v="1"/>
    <s v="CONTRATADO: FABIAN MOTTA CTO 082-17_x000a_4MESES X 8.2 MILLONES_x000a_"/>
    <n v="32800000"/>
    <x v="0"/>
    <m/>
    <n v="4"/>
    <n v="8"/>
    <n v="2017"/>
    <x v="0"/>
  </r>
  <r>
    <x v="135"/>
    <x v="5"/>
    <s v="Fortalecer la capacidad de estructuración y ejecución de proyectos de  la Rape Region Central "/>
    <x v="159"/>
    <x v="1"/>
    <s v="Fortalecimiento institucional"/>
    <x v="0"/>
    <x v="0"/>
    <x v="0"/>
    <n v="6"/>
    <m/>
    <m/>
    <x v="0"/>
    <s v="Se crea en la versión 4 por solicitud de la Dirección Técnica_x000a_Se elimina en la versión 8 a solucitud de la Oficina de Planeación"/>
    <m/>
    <x v="0"/>
    <m/>
    <m/>
    <m/>
    <m/>
    <x v="1"/>
  </r>
  <r>
    <x v="136"/>
    <x v="5"/>
    <s v="Posicionar a la Región Central como modelo de desarrollo regional en Colombia"/>
    <x v="160"/>
    <x v="1"/>
    <s v="Fortalecimiento institucional"/>
    <x v="0"/>
    <x v="7"/>
    <x v="3"/>
    <n v="6"/>
    <m/>
    <m/>
    <x v="0"/>
    <s v="Se crea en la versión 4 por solicitud de la Dirección Técnica_x000a_Se elimina en la versión 8 a solucitud de la Oficina de Planeación"/>
    <m/>
    <x v="0"/>
    <m/>
    <m/>
    <m/>
    <m/>
    <x v="1"/>
  </r>
  <r>
    <x v="137"/>
    <x v="5"/>
    <s v="1 Estrategia ejecutada de comunicación que combien acciones de ATL - BTL y Freepress"/>
    <x v="161"/>
    <x v="46"/>
    <s v="Fortalecimiento institucional"/>
    <x v="0"/>
    <x v="0"/>
    <x v="0"/>
    <n v="6"/>
    <d v="2017-05-25T00:00:00"/>
    <d v="2017-06-01T00:00:00"/>
    <x v="1"/>
    <s v="CONTRATADO: CAROL VANESSA GARZÓN CUBILLOS _x000a_CTO 63-17 6 MESES X 4 MILLONES_x000a_Se crea en la versión 7 por solicitud de la Dirección Técnica"/>
    <n v="24000000"/>
    <x v="0"/>
    <m/>
    <n v="25"/>
    <n v="5"/>
    <n v="2017"/>
    <x v="0"/>
  </r>
  <r>
    <x v="137"/>
    <x v="5"/>
    <s v="1 Estrategia ejecutada de comunicación que combien acciones de ATL - BTL y Freepress"/>
    <x v="162"/>
    <x v="93"/>
    <s v="Fortalecimiento institucional"/>
    <x v="0"/>
    <x v="0"/>
    <x v="0"/>
    <n v="1"/>
    <d v="2017-11-27T00:00:00"/>
    <d v="2017-12-01T00:00:00"/>
    <x v="1"/>
    <s v="CONTRATADO: CAROL VANESSA GARZÓN CUBILLOS "/>
    <n v="4000000"/>
    <x v="0"/>
    <m/>
    <n v="27"/>
    <n v="12"/>
    <n v="2017"/>
    <x v="0"/>
  </r>
  <r>
    <x v="138"/>
    <x v="5"/>
    <s v="100% de proyectos de inversión para la vigencia 2017 estructurados derivados del PER"/>
    <x v="163"/>
    <x v="1"/>
    <s v="Fortalecimiento institucional"/>
    <x v="0"/>
    <x v="0"/>
    <x v="0"/>
    <n v="4"/>
    <d v="2017-08-15T00:00:00"/>
    <d v="2017-09-01T00:00:00"/>
    <x v="2"/>
    <m/>
    <m/>
    <x v="0"/>
    <m/>
    <n v="15"/>
    <n v="8"/>
    <n v="2017"/>
    <x v="1"/>
  </r>
  <r>
    <x v="139"/>
    <x v="5"/>
    <s v="100% de proyectos de inversión para la vigencia 2017 estructurados derivados del PER"/>
    <x v="164"/>
    <x v="94"/>
    <s v="Fortalecimiento institucional"/>
    <x v="0"/>
    <x v="0"/>
    <x v="0"/>
    <n v="5"/>
    <d v="2017-07-15T00:00:00"/>
    <d v="2017-08-01T00:00:00"/>
    <x v="2"/>
    <s v="CONTRATADO: LIBARDO CHICUAZUQUE  CTO 069-17_x000a_5 MESES X 6´5 MILLONES"/>
    <n v="32500000"/>
    <x v="0"/>
    <m/>
    <n v="15"/>
    <n v="7"/>
    <n v="2017"/>
    <x v="0"/>
  </r>
  <r>
    <x v="140"/>
    <x v="5"/>
    <s v="100% de proyectos de inversión para la vigencia 2017 estructurados derivados del PER"/>
    <x v="165"/>
    <x v="4"/>
    <s v="Fortalecimiento institucional"/>
    <x v="0"/>
    <x v="0"/>
    <x v="0"/>
    <n v="5"/>
    <d v="2017-07-15T00:00:00"/>
    <d v="2017-08-01T00:00:00"/>
    <x v="2"/>
    <s v="CONTRATADO: CAMILO ANDRES PINEDA LÓPEZ CTO 67-17_x000a_5 MESES X 6 MILLONES"/>
    <n v="30000000"/>
    <x v="0"/>
    <m/>
    <n v="15"/>
    <n v="7"/>
    <n v="2017"/>
    <x v="0"/>
  </r>
  <r>
    <x v="140"/>
    <x v="3"/>
    <s v="100% de proyectos de inversión para la vigencia 2017 estructurados derivados del PER"/>
    <x v="166"/>
    <x v="95"/>
    <s v="Competitividad y proyección internacional"/>
    <x v="0"/>
    <x v="0"/>
    <x v="0"/>
    <s v="24 dias"/>
    <d v="2017-12-06T00:00:00"/>
    <d v="2017-12-06T00:00:00"/>
    <x v="2"/>
    <s v="ADICIONADO: CAMILO ANDRES PINEDA LÓPEZ CTO 67-17"/>
    <n v="4800000"/>
    <x v="0"/>
    <m/>
    <n v="6"/>
    <n v="12"/>
    <n v="2017"/>
    <x v="0"/>
  </r>
  <r>
    <x v="141"/>
    <x v="5"/>
    <s v="100% de proyectos de inversión para la vigencia 2017 estructurados derivados del PER"/>
    <x v="167"/>
    <x v="47"/>
    <s v="Fortalecimiento institucional"/>
    <x v="0"/>
    <x v="0"/>
    <x v="0"/>
    <n v="1"/>
    <d v="2017-11-20T00:00:00"/>
    <d v="2017-12-01T00:00:00"/>
    <x v="2"/>
    <m/>
    <m/>
    <x v="31"/>
    <m/>
    <n v="20"/>
    <n v="11"/>
    <n v="2017"/>
    <x v="4"/>
  </r>
  <r>
    <x v="142"/>
    <x v="5"/>
    <s v="3 Acciones orientadas a la certificación del Sistema Integrado de Gestión de Calidad "/>
    <x v="168"/>
    <x v="96"/>
    <s v="Fortalecimiento institucional"/>
    <x v="0"/>
    <x v="4"/>
    <x v="3"/>
    <n v="1"/>
    <d v="2017-11-28T00:00:00"/>
    <d v="2017-12-05T00:00:00"/>
    <x v="2"/>
    <s v="ADICIONADO: PUIN CTO 094-2017"/>
    <n v="6400445"/>
    <x v="0"/>
    <s v="Claudia Paez"/>
    <n v="15"/>
    <n v="9"/>
    <n v="2017"/>
    <x v="0"/>
  </r>
  <r>
    <x v="143"/>
    <x v="5"/>
    <s v="3 Acciones orientadas a la certificación del Sistema Integrado de Gestión de Calidad "/>
    <x v="169"/>
    <x v="68"/>
    <s v="Fortalecimiento institucional"/>
    <x v="0"/>
    <x v="0"/>
    <x v="0"/>
    <n v="5"/>
    <d v="2017-08-15T00:00:00"/>
    <d v="2017-01-15T00:00:00"/>
    <x v="2"/>
    <s v="CONTRATADO: JULIETH ALEJANDRA MUÑOZ ROMERO CTO 089-17 _x000a_3 MILLONES HASTA 30 DE DICIEMBRE 2017_x000a_"/>
    <n v="13400000"/>
    <x v="32"/>
    <m/>
    <n v="15"/>
    <n v="8"/>
    <n v="2017"/>
    <x v="0"/>
  </r>
  <r>
    <x v="144"/>
    <x v="5"/>
    <s v="3 Acciones orientadas a la certificación del Sistema Integrado de Gestión de Calidad "/>
    <x v="170"/>
    <x v="42"/>
    <s v="Fortalecimiento institucional"/>
    <x v="0"/>
    <x v="0"/>
    <x v="0"/>
    <n v="4"/>
    <d v="2017-09-23T00:00:00"/>
    <d v="2017-10-01T00:00:00"/>
    <x v="2"/>
    <s v="CONTRATADO: SOLANLLY CASTELLANOS RINCÓN CTO 098-17"/>
    <n v="23100000"/>
    <x v="33"/>
    <m/>
    <n v="23"/>
    <n v="9"/>
    <n v="2017"/>
    <x v="0"/>
  </r>
  <r>
    <x v="145"/>
    <x v="5"/>
    <s v="1 Sistema de Información Geográfica actualizado"/>
    <x v="171"/>
    <x v="3"/>
    <s v="Fortalecimiento institucional"/>
    <x v="0"/>
    <x v="0"/>
    <x v="0"/>
    <n v="3"/>
    <d v="2017-07-25T00:00:00"/>
    <d v="2017-08-01T00:00:00"/>
    <x v="2"/>
    <s v="CONTRATADO: ADICIÓN AL CONTRATO ANA JULIER FONSECA CTO 004-17"/>
    <n v="16500000"/>
    <x v="0"/>
    <m/>
    <n v="25"/>
    <n v="7"/>
    <n v="2017"/>
    <x v="0"/>
  </r>
  <r>
    <x v="146"/>
    <x v="5"/>
    <s v="Una solución tecnológica y administrativa implementada que soporte los procesos de la entidad"/>
    <x v="172"/>
    <x v="32"/>
    <s v="Fortalecimiento institucional"/>
    <x v="0"/>
    <x v="8"/>
    <x v="3"/>
    <n v="1"/>
    <d v="2017-10-23T00:00:00"/>
    <d v="2017-11-23T00:00:00"/>
    <x v="3"/>
    <s v="CONTRATADO: CONTROLES EMPRESARIALES OC 22625_x000a_Se crea en la versión 8 a solucitud de la Dirección Corporativa"/>
    <n v="9000000"/>
    <x v="34"/>
    <s v="Angela Moreno"/>
    <n v="1"/>
    <n v="9"/>
    <n v="2017"/>
    <x v="0"/>
  </r>
  <r>
    <x v="147"/>
    <x v="5"/>
    <s v="Una solución tecnológica y administrativa implementada que soporte los procesos de la entidad"/>
    <x v="173"/>
    <x v="57"/>
    <s v="Fortalecimiento institucional"/>
    <x v="0"/>
    <x v="4"/>
    <x v="6"/>
    <n v="3"/>
    <d v="2017-11-01T00:00:00"/>
    <d v="2017-12-15T00:00:00"/>
    <x v="3"/>
    <s v="Se crea en la versión 8 a solucitud de la Dirección Corporativa"/>
    <m/>
    <x v="35"/>
    <s v="Claudia Paez"/>
    <n v="15"/>
    <n v="9"/>
    <n v="2017"/>
    <x v="4"/>
  </r>
  <r>
    <x v="148"/>
    <x v="5"/>
    <s v="Generar un programa para fortalecer la gestión del talento humano en la entidad"/>
    <x v="174"/>
    <x v="97"/>
    <s v="Fortalecimiento institucional"/>
    <x v="0"/>
    <x v="0"/>
    <x v="3"/>
    <n v="3"/>
    <d v="2017-10-01T00:00:00"/>
    <d v="2017-10-03T00:00:00"/>
    <x v="3"/>
    <s v="ADICIONADO: COLSUBSIDIO CTO 064-2017_x000a_Se crea en la versión 8 a solucitud de la Dirección Corporativa_x000a_Se modifica en la vesrión 9 a solcitud de la DC"/>
    <n v="6560000"/>
    <x v="36"/>
    <s v="Natalia Naranjo"/>
    <n v="1"/>
    <n v="10"/>
    <n v="2017"/>
    <x v="0"/>
  </r>
  <r>
    <x v="149"/>
    <x v="5"/>
    <s v="3 acciones de cambio de imagen instituciona "/>
    <x v="175"/>
    <x v="56"/>
    <s v="Fortalecimiento institucional"/>
    <x v="0"/>
    <x v="0"/>
    <x v="0"/>
    <n v="5"/>
    <d v="2017-07-15T00:00:00"/>
    <d v="2017-08-01T00:00:00"/>
    <x v="1"/>
    <s v="CONTRATADO: GERMAN ENRIQUE GIRALDO CTO 077-17_x000a_4 MESES X 6.5 MILLONES"/>
    <n v="26000000"/>
    <x v="0"/>
    <m/>
    <n v="15"/>
    <n v="7"/>
    <n v="2017"/>
    <x v="0"/>
  </r>
  <r>
    <x v="150"/>
    <x v="5"/>
    <s v="3 acciones de cambio de imagen instituciona"/>
    <x v="77"/>
    <x v="98"/>
    <s v="Fortalecimiento institucional"/>
    <x v="0"/>
    <x v="0"/>
    <x v="6"/>
    <n v="3"/>
    <d v="2017-08-11T00:00:00"/>
    <d v="2017-09-30T00:00:00"/>
    <x v="1"/>
    <s v="CONTRATADO: TV ANDINA CANAL 13 CTO 099-17"/>
    <n v="98000000"/>
    <x v="0"/>
    <s v="Claudia Paez"/>
    <n v="11"/>
    <n v="8"/>
    <n v="2017"/>
    <x v="0"/>
  </r>
  <r>
    <x v="151"/>
    <x v="5"/>
    <s v="3 acciones de cambio de imagen institucionaL"/>
    <x v="176"/>
    <x v="99"/>
    <s v="Fortalecimiento institucional"/>
    <x v="0"/>
    <x v="7"/>
    <x v="6"/>
    <n v="3"/>
    <d v="2017-08-15T00:00:00"/>
    <d v="2017-09-15T00:00:00"/>
    <x v="1"/>
    <s v="CONTRATADO: FENIX MEDIA GROUP LIMITADA CTO 119-17"/>
    <n v="110000000"/>
    <x v="0"/>
    <s v="Angela Moreno"/>
    <n v="15"/>
    <n v="8"/>
    <n v="2017"/>
    <x v="0"/>
  </r>
  <r>
    <x v="152"/>
    <x v="5"/>
    <s v="3 acciones de cambio de imagen instituciona"/>
    <x v="177"/>
    <x v="1"/>
    <s v="Fortalecimiento institucional"/>
    <x v="0"/>
    <x v="0"/>
    <x v="3"/>
    <n v="3"/>
    <d v="2017-08-15T00:00:00"/>
    <d v="2017-08-20T00:00:00"/>
    <x v="1"/>
    <m/>
    <m/>
    <x v="0"/>
    <s v="Claudia Paez"/>
    <n v="15"/>
    <n v="8"/>
    <n v="2017"/>
    <x v="1"/>
  </r>
  <r>
    <x v="153"/>
    <x v="5"/>
    <s v="1 Estrategia ejecutada de comunicación que combien acciones de ATL - BTL y Freepress"/>
    <x v="178"/>
    <x v="100"/>
    <s v="Fortalecimiento institucional"/>
    <x v="0"/>
    <x v="0"/>
    <x v="3"/>
    <n v="4"/>
    <d v="2017-08-23T00:00:00"/>
    <d v="2017-08-31T00:00:00"/>
    <x v="1"/>
    <s v="CONTRATADO: JAIME ANDRÉS FLOREZ MURCIA CTO 097-17_x000a_8 MILLONES - HASTA EL 31 DE DICIEMBRE"/>
    <n v="27466658"/>
    <x v="0"/>
    <s v="Natalia Naranjo"/>
    <n v="23"/>
    <n v="8"/>
    <n v="2017"/>
    <x v="0"/>
  </r>
  <r>
    <x v="154"/>
    <x v="5"/>
    <s v="Generar un programa para fortalecer la gestión del talento humano en la entidad"/>
    <x v="179"/>
    <x v="101"/>
    <s v="Fortalecimiento institucional"/>
    <x v="0"/>
    <x v="0"/>
    <x v="3"/>
    <n v="1"/>
    <d v="2017-08-15T00:00:00"/>
    <d v="2017-08-18T00:00:00"/>
    <x v="3"/>
    <s v="CONTRATADO: HUMAN CHANGE CTO 084-17_x000a_UN PAGO _x000a_Se crea en versión 9 a solicitud de la DC"/>
    <n v="5421900"/>
    <x v="37"/>
    <s v="Natalia Naranjo"/>
    <n v="15"/>
    <n v="8"/>
    <n v="2017"/>
    <x v="0"/>
  </r>
  <r>
    <x v="155"/>
    <x v="5"/>
    <s v="Generar un programa para fortalecer la gestión del talento humano en la entidad"/>
    <x v="180"/>
    <x v="102"/>
    <s v="Fortalecimiento institucional"/>
    <x v="0"/>
    <x v="0"/>
    <x v="3"/>
    <n v="3"/>
    <d v="2017-08-09T00:00:00"/>
    <d v="2017-09-30T00:00:00"/>
    <x v="3"/>
    <s v="CONTRATADO: GPW PEOPLE´S VOICE SAS CTO 083-17_x000a_Se crea en versión 9 a solicitud de la DC_x000a_"/>
    <n v="7973000"/>
    <x v="0"/>
    <s v="Natalia Naranjo"/>
    <n v="9"/>
    <n v="8"/>
    <n v="2017"/>
    <x v="0"/>
  </r>
  <r>
    <x v="156"/>
    <x v="5"/>
    <s v="Una solución tecnológica y administrativa implementada que soporte los procesos de la entidad"/>
    <x v="181"/>
    <x v="68"/>
    <s v="Fortalecimiento institucional"/>
    <x v="0"/>
    <x v="4"/>
    <x v="3"/>
    <n v="4"/>
    <d v="2017-11-01T00:00:00"/>
    <d v="2017-12-15T00:00:00"/>
    <x v="3"/>
    <s v="Se crea en versión 9 a solicitud de la DC"/>
    <m/>
    <x v="38"/>
    <s v="Angela Moreno"/>
    <n v="15"/>
    <n v="10"/>
    <n v="2017"/>
    <x v="3"/>
  </r>
  <r>
    <x v="157"/>
    <x v="5"/>
    <s v="100% de proyectos de inversión para la vigencia 2017 estructurados derivados del PER"/>
    <x v="182"/>
    <x v="46"/>
    <s v="Fortalecimiento institucional"/>
    <x v="0"/>
    <x v="0"/>
    <x v="0"/>
    <n v="3"/>
    <d v="2017-09-05T00:00:00"/>
    <d v="2017-09-06T00:00:00"/>
    <x v="0"/>
    <s v="ADICIONADO: JULIO CESAR PULIDO CTO 023-17_x000a_24 MILLONES X 3 MESES"/>
    <n v="24000000"/>
    <x v="0"/>
    <m/>
    <n v="5"/>
    <n v="9"/>
    <n v="2017"/>
    <x v="0"/>
  </r>
  <r>
    <x v="158"/>
    <x v="5"/>
    <s v="1 Sistema de Información Geográfica actualizado"/>
    <x v="183"/>
    <x v="17"/>
    <s v="Fortalecimiento institucional"/>
    <x v="0"/>
    <x v="0"/>
    <x v="0"/>
    <n v="2"/>
    <d v="2017-10-18T00:00:00"/>
    <d v="2017-11-01T00:00:00"/>
    <x v="2"/>
    <s v="CONTRATADO: LUIS ENRIQUE CAICEDO CTO 109-17"/>
    <n v="11600000"/>
    <x v="9"/>
    <m/>
    <n v="18"/>
    <n v="10"/>
    <n v="2017"/>
    <x v="0"/>
  </r>
  <r>
    <x v="159"/>
    <x v="5"/>
    <s v="Una solución tecnológica y administrativa implementada que soporte los procesos de la entidad"/>
    <x v="184"/>
    <x v="103"/>
    <s v="Fortalecimiento institucional"/>
    <x v="0"/>
    <x v="8"/>
    <x v="3"/>
    <n v="1"/>
    <d v="2017-11-30T00:00:00"/>
    <d v="2017-12-30T00:00:00"/>
    <x v="3"/>
    <m/>
    <m/>
    <x v="39"/>
    <m/>
    <n v="30"/>
    <n v="11"/>
    <n v="2017"/>
    <x v="3"/>
  </r>
  <r>
    <x v="160"/>
    <x v="5"/>
    <s v="3 acciones de cambio de imagen instituciona"/>
    <x v="185"/>
    <x v="104"/>
    <s v="Fortalecimiento institucional"/>
    <x v="0"/>
    <x v="8"/>
    <x v="3"/>
    <n v="2"/>
    <d v="2017-11-02T00:00:00"/>
    <d v="2017-11-08T00:00:00"/>
    <x v="1"/>
    <s v="CONTRATADO: PANAMERICANA OC 21757"/>
    <n v="9410282"/>
    <x v="0"/>
    <m/>
    <n v="2"/>
    <n v="11"/>
    <n v="2017"/>
    <x v="0"/>
  </r>
  <r>
    <x v="161"/>
    <x v="5"/>
    <s v="3 acciones de cambio de imagen instituciona"/>
    <x v="186"/>
    <x v="105"/>
    <s v="Fortalecimiento institucional"/>
    <x v="0"/>
    <x v="8"/>
    <x v="3"/>
    <n v="1"/>
    <d v="2017-11-08T00:00:00"/>
    <d v="2017-11-10T00:00:00"/>
    <x v="1"/>
    <m/>
    <m/>
    <x v="40"/>
    <m/>
    <n v="8"/>
    <n v="11"/>
    <n v="2017"/>
    <x v="4"/>
  </r>
  <r>
    <x v="162"/>
    <x v="5"/>
    <s v="3 acciones de cambio de imagen instituciona"/>
    <x v="187"/>
    <x v="106"/>
    <s v="Fortalecimiento institucional"/>
    <x v="0"/>
    <x v="4"/>
    <x v="3"/>
    <n v="1"/>
    <d v="2017-11-08T00:00:00"/>
    <d v="2017-11-10T00:00:00"/>
    <x v="1"/>
    <s v="CONTRATADO: INTERNACIONAL DE CAMARAS Y LENTES S.A.S CTO 118-17"/>
    <n v="19413000"/>
    <x v="0"/>
    <m/>
    <n v="8"/>
    <n v="11"/>
    <n v="2017"/>
    <x v="0"/>
  </r>
  <r>
    <x v="163"/>
    <x v="5"/>
    <s v="3 acciones de cambio de imagen instituciona"/>
    <x v="188"/>
    <x v="107"/>
    <s v="Fortalecimiento institucional"/>
    <x v="0"/>
    <x v="7"/>
    <x v="3"/>
    <n v="1"/>
    <d v="2017-11-09T00:00:00"/>
    <d v="2017-11-15T00:00:00"/>
    <x v="1"/>
    <s v="CONTRATADO: CANAL REGIONAL  DE TELEVISIÓN TEVEANDINA LTDA – TEVEANDINA LTDA CTO 112-17"/>
    <n v="48509428"/>
    <x v="0"/>
    <m/>
    <n v="9"/>
    <n v="11"/>
    <n v="2017"/>
    <x v="0"/>
  </r>
  <r>
    <x v="164"/>
    <x v="6"/>
    <s v="Realizar el ejercicio de planeación de la gestión contractual requerida para la vigencia"/>
    <x v="189"/>
    <x v="108"/>
    <s v="Honorarios"/>
    <x v="0"/>
    <x v="0"/>
    <x v="0"/>
    <n v="10"/>
    <d v="2017-01-13T00:00:00"/>
    <d v="2017-01-16T00:00:00"/>
    <x v="3"/>
    <s v="CONTRATADO: CLAUDIA PÁEZ CTO 001-17_x000a_6 MESES X 6`1 MILLONES _x000a_tenia 61 millones"/>
    <n v="36600000"/>
    <x v="0"/>
    <m/>
    <n v="13"/>
    <n v="1"/>
    <n v="2017"/>
    <x v="0"/>
  </r>
  <r>
    <x v="164"/>
    <x v="6"/>
    <s v="Realizar el ejercicio de planeación de la gestión contractual requerida para la vigencia"/>
    <x v="189"/>
    <x v="109"/>
    <s v="Honorarios"/>
    <x v="0"/>
    <x v="0"/>
    <x v="0"/>
    <n v="5.5"/>
    <d v="2017-07-10T00:00:00"/>
    <d v="2017-07-17T00:00:00"/>
    <x v="3"/>
    <s v="CONTRATADO: CLAUDIA PAEZ CTO 070-17_x000a_5 meses y 13 días X 6'1 MILLONES"/>
    <n v="33143333"/>
    <x v="0"/>
    <m/>
    <n v="10"/>
    <n v="7"/>
    <n v="2017"/>
    <x v="0"/>
  </r>
  <r>
    <x v="165"/>
    <x v="6"/>
    <s v="Realizar el ejercicio de planeación de la gestión contractual requerida para la vigencia"/>
    <x v="190"/>
    <x v="1"/>
    <s v="Honorarios"/>
    <x v="0"/>
    <x v="0"/>
    <x v="0"/>
    <n v="10"/>
    <m/>
    <m/>
    <x v="3"/>
    <m/>
    <m/>
    <x v="0"/>
    <m/>
    <m/>
    <m/>
    <m/>
    <x v="1"/>
  </r>
  <r>
    <x v="166"/>
    <x v="6"/>
    <s v="Realizar el ejercicio de planeación de la gestión contractual requerida para la vigencia"/>
    <x v="190"/>
    <x v="110"/>
    <s v="Honorarios"/>
    <x v="0"/>
    <x v="0"/>
    <x v="0"/>
    <n v="10"/>
    <d v="2017-01-13T00:00:00"/>
    <d v="2017-01-16T00:00:00"/>
    <x v="3"/>
    <s v="CONTRATADO: ANGELA PATRICIA MORENO_x000a_7 MESES X 7 MILLONES_x000a_Tenía 54 millones"/>
    <n v="49000000"/>
    <x v="0"/>
    <m/>
    <n v="13"/>
    <n v="1"/>
    <n v="2017"/>
    <x v="0"/>
  </r>
  <r>
    <x v="166"/>
    <x v="6"/>
    <s v="Realizar el ejercicio de planeación de la gestión contractual requerida para la vigencia"/>
    <x v="191"/>
    <x v="111"/>
    <s v="Honorarios"/>
    <x v="0"/>
    <x v="0"/>
    <x v="0"/>
    <n v="4"/>
    <d v="2017-09-01T00:00:00"/>
    <d v="2017-09-08T00:00:00"/>
    <x v="3"/>
    <s v="CONTRATADO: ANGELA PATRICIA MORENO"/>
    <n v="24500000"/>
    <x v="0"/>
    <m/>
    <n v="1"/>
    <n v="9"/>
    <n v="2017"/>
    <x v="0"/>
  </r>
  <r>
    <x v="167"/>
    <x v="6"/>
    <s v="Realizar el ejercicio de planeación de la gestión contractual requerida para la vigencia"/>
    <x v="192"/>
    <x v="112"/>
    <s v="Honorarios"/>
    <x v="0"/>
    <x v="0"/>
    <x v="0"/>
    <n v="10"/>
    <d v="2017-01-13T00:00:00"/>
    <d v="2017-02-16T00:00:00"/>
    <x v="3"/>
    <s v="CONTRATADO: EDWIN ANDRÉS CLAVIJO CTO 022-17_x000a_8 MESES X 6'1 MILLONES_x000a_Tenia 61 millones"/>
    <n v="48800000"/>
    <x v="0"/>
    <m/>
    <n v="13"/>
    <n v="1"/>
    <n v="2017"/>
    <x v="0"/>
  </r>
  <r>
    <x v="167"/>
    <x v="6"/>
    <s v="Realizar el ejercicio de planeación de la gestión contractual requerida para la vigencia"/>
    <x v="193"/>
    <x v="73"/>
    <s v="Honorarios"/>
    <x v="0"/>
    <x v="0"/>
    <x v="0"/>
    <n v="2.5"/>
    <d v="2017-10-01T00:00:00"/>
    <d v="2017-10-15T00:00:00"/>
    <x v="3"/>
    <s v="ADICIONADO: EDWIN ANDRÉS CLAVIJO CTO 022-17"/>
    <n v="15250000"/>
    <x v="0"/>
    <m/>
    <n v="1"/>
    <n v="10"/>
    <n v="2017"/>
    <x v="0"/>
  </r>
  <r>
    <x v="168"/>
    <x v="6"/>
    <s v="Mantener  la disponibilidad e integridad de la infraestructura tecnologica de la entidad e implementar las soluciones tecnológicas requeridas"/>
    <x v="194"/>
    <x v="113"/>
    <s v="Honorarios"/>
    <x v="0"/>
    <x v="0"/>
    <x v="0"/>
    <n v="11"/>
    <d v="2017-01-13T00:00:00"/>
    <d v="2017-02-01T00:00:00"/>
    <x v="3"/>
    <s v="CONTRATADO: LUIS RAVELO_x000a_6 MESES X 3,4 MILLONES_x000a_Tenia 38 millones"/>
    <n v="20400000"/>
    <x v="0"/>
    <m/>
    <n v="13"/>
    <n v="1"/>
    <n v="2017"/>
    <x v="0"/>
  </r>
  <r>
    <x v="168"/>
    <x v="6"/>
    <s v="Mantener  la disponibilidad e integridad de la infraestructura tecnologica de la entidad e implementar las soluciones tecnológicas requeridas"/>
    <x v="194"/>
    <x v="114"/>
    <s v="Honorarios"/>
    <x v="0"/>
    <x v="0"/>
    <x v="0"/>
    <n v="4"/>
    <d v="2017-08-02T00:00:00"/>
    <d v="2017-08-06T00:00:00"/>
    <x v="3"/>
    <s v="CONTRATADO: ROY STIK LARRARTE CRUZ CTO 091-17_x000a_3.4 MILLONES X 4 MESES"/>
    <n v="13600000"/>
    <x v="41"/>
    <m/>
    <n v="2"/>
    <n v="8"/>
    <n v="2017"/>
    <x v="0"/>
  </r>
  <r>
    <x v="169"/>
    <x v="6"/>
    <s v="Mantener  la disponibilidad e integridad de la infraestructura tecnologica de la entidad e implementar las soluciones tecnológicas requeridas"/>
    <x v="195"/>
    <x v="115"/>
    <s v="Honorarios"/>
    <x v="0"/>
    <x v="0"/>
    <x v="0"/>
    <n v="3"/>
    <d v="2017-08-15T00:00:00"/>
    <d v="2017-08-18T00:00:00"/>
    <x v="3"/>
    <s v="CONTRATADO: JUAN GABRIEL JIMENEZ CTO 090-17_x000a_7.377 MILLONES X 3 MESES 10 DIAS"/>
    <n v="24590000"/>
    <x v="0"/>
    <m/>
    <n v="15"/>
    <n v="8"/>
    <n v="2017"/>
    <x v="0"/>
  </r>
  <r>
    <x v="170"/>
    <x v="6"/>
    <s v="Contar con la infraestructura física requerida por la entidad y realizar el control y seguimiento a los bienes y servicios de la entidad"/>
    <x v="196"/>
    <x v="116"/>
    <s v="Materiales y Suministros"/>
    <x v="0"/>
    <x v="8"/>
    <x v="6"/>
    <n v="4"/>
    <d v="2017-11-22T00:00:00"/>
    <d v="2015-12-15T00:00:00"/>
    <x v="3"/>
    <s v="Se crea en la versión 6 por solicitud de la Dirección Corporativa"/>
    <m/>
    <x v="42"/>
    <s v="Angela Moreno"/>
    <n v="1"/>
    <n v="10"/>
    <n v="2017"/>
    <x v="4"/>
  </r>
  <r>
    <x v="171"/>
    <x v="6"/>
    <s v="Contar con la infraestructura física requerida por la entidad y realizar el control y seguimiento a los bienes y servicios de la entidad"/>
    <x v="197"/>
    <x v="117"/>
    <s v="Materiales y Suministros"/>
    <x v="0"/>
    <x v="4"/>
    <x v="6"/>
    <n v="1"/>
    <d v="2017-04-25T00:00:00"/>
    <d v="2017-05-18T00:00:00"/>
    <x v="3"/>
    <s v="CONTRATADO: 062-17 COMERCIALIZADORA VIMEL LTDA._x000a_2 MILLON ES x 1 MES_x000a_Se crea en la versión 6 por solicitud de la Dirección Corporativa"/>
    <n v="2000000"/>
    <x v="0"/>
    <m/>
    <n v="25"/>
    <n v="4"/>
    <n v="2017"/>
    <x v="0"/>
  </r>
  <r>
    <x v="172"/>
    <x v="6"/>
    <s v="Contar con la infraestructura física requerida por la entidad y realizar el control y seguimiento a los bienes y servicios de la entidad"/>
    <x v="198"/>
    <x v="93"/>
    <s v="Materiales y Suministros"/>
    <x v="0"/>
    <x v="4"/>
    <x v="6"/>
    <s v="al 31 de diciembre 201"/>
    <d v="2017-12-13T00:00:00"/>
    <d v="2017-12-31T00:00:00"/>
    <x v="3"/>
    <m/>
    <m/>
    <x v="43"/>
    <m/>
    <n v="13"/>
    <n v="12"/>
    <n v="2017"/>
    <x v="3"/>
  </r>
  <r>
    <x v="173"/>
    <x v="6"/>
    <s v="Mantener  la disponibilidad e integridad de la infraestructura tecnologica de la entidad e implementar las soluciones tecnológicas requeridas"/>
    <x v="199"/>
    <x v="118"/>
    <s v="Gastos de Computador"/>
    <x v="0"/>
    <x v="8"/>
    <x v="3"/>
    <n v="1"/>
    <d v="2017-10-23T00:00:00"/>
    <d v="2017-11-23T00:00:00"/>
    <x v="3"/>
    <s v="CONTRATADO: CONTROLES EMPRESARIALES OC 22625"/>
    <n v="17154787"/>
    <x v="44"/>
    <s v="Angela Moreno"/>
    <n v="1"/>
    <n v="9"/>
    <n v="2017"/>
    <x v="0"/>
  </r>
  <r>
    <x v="174"/>
    <x v="6"/>
    <s v="Mantener  la disponibilidad e integridad de la infraestructura tecnologica de la entidad e implementar las soluciones tecnológicas requeridas"/>
    <x v="200"/>
    <x v="119"/>
    <s v="Gastos de Computador"/>
    <x v="0"/>
    <x v="4"/>
    <x v="3"/>
    <n v="1"/>
    <m/>
    <m/>
    <x v="3"/>
    <m/>
    <m/>
    <x v="45"/>
    <m/>
    <m/>
    <m/>
    <m/>
    <x v="1"/>
  </r>
  <r>
    <x v="175"/>
    <x v="6"/>
    <s v="Mantener  la disponibilidad e integridad de la infraestructura tecnologica de la entidad e implementar las soluciones tecnológicas requeridas"/>
    <x v="201"/>
    <x v="120"/>
    <s v="Gastos de Computador"/>
    <x v="0"/>
    <x v="0"/>
    <x v="3"/>
    <n v="12"/>
    <d v="2017-12-01T00:00:00"/>
    <d v="2017-12-20T00:00:00"/>
    <x v="3"/>
    <m/>
    <m/>
    <x v="46"/>
    <s v="Natalia Naranjo"/>
    <n v="1"/>
    <n v="12"/>
    <n v="2017"/>
    <x v="3"/>
  </r>
  <r>
    <x v="176"/>
    <x v="6"/>
    <s v="Contar con la infraestructura física requerida por la entidad y realizar el control y seguimiento a los bienes y servicios de la entidad"/>
    <x v="202"/>
    <x v="121"/>
    <s v="Comunicación y Transporte"/>
    <x v="0"/>
    <x v="3"/>
    <x v="3"/>
    <n v="2"/>
    <d v="2017-01-16T00:00:00"/>
    <d v="2017-01-23T00:00:00"/>
    <x v="3"/>
    <s v="CONTRATADO: PLATINO VIP 17/01/2017"/>
    <n v="8700000"/>
    <x v="0"/>
    <m/>
    <n v="16"/>
    <n v="1"/>
    <n v="2017"/>
    <x v="0"/>
  </r>
  <r>
    <x v="177"/>
    <x v="6"/>
    <s v="Contar con la infraestructura física requerida por la entidad y realizar el control y seguimiento a los bienes y servicios de la entidad"/>
    <x v="203"/>
    <x v="122"/>
    <s v="Comunicación y Transporte"/>
    <x v="0"/>
    <x v="7"/>
    <x v="3"/>
    <n v="8"/>
    <d v="2017-03-15T00:00:00"/>
    <d v="2017-04-15T00:00:00"/>
    <x v="3"/>
    <s v="CONTRATADO: SERVITAC LTDA.  _x000a_CONTRATO 055-2017 _x000a_Se modifica en la versión 2 el valor por solicitud de la Dirección Corporativa"/>
    <n v="53000000"/>
    <x v="0"/>
    <m/>
    <n v="15"/>
    <n v="3"/>
    <n v="2017"/>
    <x v="0"/>
  </r>
  <r>
    <x v="177"/>
    <x v="6"/>
    <s v="Contar con la infraestructura física requerida por la entidad y realizar el control y seguimiento a los bienes y servicios de la entidad"/>
    <x v="204"/>
    <x v="123"/>
    <s v="Comunicación y Transporte"/>
    <x v="0"/>
    <x v="3"/>
    <x v="3"/>
    <n v="4"/>
    <d v="2017-09-15T00:00:00"/>
    <d v="2017-09-16T00:00:00"/>
    <x v="3"/>
    <s v="Adicionado: SERVITAC 055-17"/>
    <n v="5000000"/>
    <x v="0"/>
    <m/>
    <n v="15"/>
    <n v="9"/>
    <n v="2017"/>
    <x v="0"/>
  </r>
  <r>
    <x v="178"/>
    <x v="6"/>
    <s v="Satisfacer las necesidades de información de los usuarios, dando cumplimiento a los términos de ley"/>
    <x v="205"/>
    <x v="124"/>
    <s v="Comunicación y Transporte"/>
    <x v="0"/>
    <x v="8"/>
    <x v="3"/>
    <n v="12"/>
    <d v="2017-03-01T00:00:00"/>
    <d v="2017-03-15T00:00:00"/>
    <x v="3"/>
    <s v="CONTRATADO: 472 - SERVICIOS POSTALES NACIONALES S.A._x000a_ORDEN DECOMPRA 17559"/>
    <n v="4030520"/>
    <x v="0"/>
    <m/>
    <n v="1"/>
    <n v="3"/>
    <n v="2017"/>
    <x v="0"/>
  </r>
  <r>
    <x v="179"/>
    <x v="6"/>
    <s v="Contar con la infraestructura física requerida por la entidad y realizar el control y seguimiento a los bienes y servicios de la entidad"/>
    <x v="203"/>
    <x v="67"/>
    <s v="Comunicación y Transporte"/>
    <x v="0"/>
    <x v="7"/>
    <x v="3"/>
    <n v="3"/>
    <d v="2017-09-01T00:00:00"/>
    <d v="2017-10-01T00:00:00"/>
    <x v="3"/>
    <s v="CONTRTADO: SERVITAC CTO 105-17_x000a_3 MESES "/>
    <n v="27000000"/>
    <x v="0"/>
    <s v="Angela Moreno"/>
    <n v="1"/>
    <n v="9"/>
    <n v="2017"/>
    <x v="0"/>
  </r>
  <r>
    <x v="180"/>
    <x v="6"/>
    <s v="Mantener  la disponibilidad e integridad de la infraestructura tecnologica de la entidad e implementar las soluciones tecnológicas requeridas"/>
    <x v="206"/>
    <x v="125"/>
    <s v="Comunicación y Transporte"/>
    <x v="0"/>
    <x v="7"/>
    <x v="3"/>
    <n v="12"/>
    <d v="2017-02-15T00:00:00"/>
    <d v="2017-03-27T00:00:00"/>
    <x v="3"/>
    <s v="CONTRATADO: EMPRESA DE TELECOMUNICACIONES DE BOGOTÁ S.A.E.S.P._x000a_CONTRATO: CONTRATO 050-2017"/>
    <n v="21043008"/>
    <x v="0"/>
    <m/>
    <n v="15"/>
    <n v="2"/>
    <n v="2017"/>
    <x v="0"/>
  </r>
  <r>
    <x v="180"/>
    <x v="6"/>
    <s v="Mantener  la disponibilidad e integridad de la infraestructura tecnologica de la entidad e implementar las soluciones tecnológicas requeridas"/>
    <x v="206"/>
    <x v="126"/>
    <s v="Servicios Públicos"/>
    <x v="0"/>
    <x v="7"/>
    <x v="3"/>
    <n v="12"/>
    <d v="2017-02-15T00:00:00"/>
    <d v="2017-03-27T00:00:00"/>
    <x v="3"/>
    <s v="CONTRATADO: EMPRESA DE TELECOMUNICACIONES DE BOGOTÁ S.A.E.S.P._x000a_CONTRATO: CONTRATO 050-2017"/>
    <n v="9996000"/>
    <x v="0"/>
    <m/>
    <n v="15"/>
    <n v="2"/>
    <n v="2017"/>
    <x v="0"/>
  </r>
  <r>
    <x v="181"/>
    <x v="6"/>
    <s v="Contar con la infraestructura física requerida por la entidad y realizar el control y seguimiento a los bienes y servicios de la entidad"/>
    <x v="207"/>
    <x v="127"/>
    <s v="Seguros"/>
    <x v="0"/>
    <x v="7"/>
    <x v="3"/>
    <n v="13.6"/>
    <d v="2017-03-01T00:00:00"/>
    <d v="2017-04-17T00:00:00"/>
    <x v="3"/>
    <s v="CONTRATADO: ASEGURADORA SOLIDARIA DE COLOMBIA _x000a_CONTRATO: 054-2017_x000a_Se modifica en la versión 4 por solicitud de la Dirección Corporativa"/>
    <n v="38506528"/>
    <x v="0"/>
    <m/>
    <n v="1"/>
    <n v="3"/>
    <n v="2017"/>
    <x v="0"/>
  </r>
  <r>
    <x v="181"/>
    <x v="6"/>
    <s v="Contar con la infraestructura física requerida por la entidad y realizar el control y seguimiento a los bienes y servicios de la entidad"/>
    <x v="208"/>
    <x v="128"/>
    <s v="Seguros"/>
    <x v="0"/>
    <x v="3"/>
    <x v="3"/>
    <n v="1"/>
    <d v="2017-08-04T00:00:00"/>
    <s v="10/08/52017"/>
    <x v="3"/>
    <s v="ADICIONADO: ASEGURADORA SOLIDARIA DE COLOMBIA _x000a_CONTRATO: 054-2017_x000a_Se modifica en la versión 4 por solicitud de la Dirección Corporativa"/>
    <n v="93472"/>
    <x v="0"/>
    <m/>
    <n v="4"/>
    <n v="8"/>
    <n v="2017"/>
    <x v="0"/>
  </r>
  <r>
    <x v="182"/>
    <x v="6"/>
    <s v="Realizar el ejercicio de planeación de la gestión contractual requerida para la vigencia"/>
    <x v="209"/>
    <x v="129"/>
    <s v="Impresos y Publicaciones"/>
    <x v="0"/>
    <x v="0"/>
    <x v="3"/>
    <n v="12"/>
    <d v="2017-08-15T00:00:00"/>
    <d v="2017-09-01T00:00:00"/>
    <x v="3"/>
    <s v="CONTRATADO: CONTEXTO JURÍDICO CTO 093-17_x000a_UN AÑO"/>
    <n v="1200000"/>
    <x v="0"/>
    <s v="Claudia Paez"/>
    <n v="15"/>
    <n v="8"/>
    <n v="2017"/>
    <x v="0"/>
  </r>
  <r>
    <x v="183"/>
    <x v="6"/>
    <s v="Realizar el ejercicio de planeación de la gestión contractual requerida para la vigencia"/>
    <x v="188"/>
    <x v="4"/>
    <s v="Impresos y Publicaciones"/>
    <x v="0"/>
    <x v="7"/>
    <x v="3"/>
    <n v="1"/>
    <d v="2017-11-09T00:00:00"/>
    <d v="2017-11-15T00:00:00"/>
    <x v="1"/>
    <s v="CONTRATADO: CANAL REGIONAL  DE TELEVISIÓN TEVEANDINA LTDA – TEVEANDINA LTDA CTO 112-17"/>
    <n v="30000000"/>
    <x v="0"/>
    <m/>
    <n v="9"/>
    <n v="11"/>
    <n v="2017"/>
    <x v="0"/>
  </r>
  <r>
    <x v="184"/>
    <x v="6"/>
    <s v="Realizar el ejercicio de planeación de la gestión contractual requerida para la vigencia"/>
    <x v="56"/>
    <x v="9"/>
    <s v="Impresos y Publicaciones"/>
    <x v="0"/>
    <x v="0"/>
    <x v="6"/>
    <s v="N/A"/>
    <d v="2017-11-09T00:00:00"/>
    <d v="2017-11-15T00:00:00"/>
    <x v="1"/>
    <s v="CONTRATADO: TV ANDINA CANAL 13 CTO 099-17"/>
    <n v="42000000"/>
    <x v="0"/>
    <m/>
    <n v="9"/>
    <n v="11"/>
    <n v="2017"/>
    <x v="0"/>
  </r>
  <r>
    <x v="185"/>
    <x v="6"/>
    <s v="Contar con la infraestructura física requerida por la entidad y realizar el control y seguimiento a los bienes y servicios de la entidad"/>
    <x v="210"/>
    <x v="130"/>
    <s v="Mantenimiento"/>
    <x v="0"/>
    <x v="8"/>
    <x v="3"/>
    <n v="12"/>
    <d v="2017-01-13T00:00:00"/>
    <d v="2017-01-23T00:00:00"/>
    <x v="3"/>
    <s v="CONTRATADO: SERVIASEO OC 13668 DE 2017"/>
    <n v="24651979"/>
    <x v="0"/>
    <m/>
    <n v="13"/>
    <n v="1"/>
    <n v="2017"/>
    <x v="0"/>
  </r>
  <r>
    <x v="186"/>
    <x v="6"/>
    <s v="Contar con la infraestructura física requerida por la entidad y realizar el control y seguimiento a los bienes y servicios de la entidad"/>
    <x v="211"/>
    <x v="131"/>
    <s v="Mantenimiento"/>
    <x v="0"/>
    <x v="7"/>
    <x v="3"/>
    <n v="1"/>
    <d v="2017-03-01T00:00:00"/>
    <d v="2017-03-27T00:00:00"/>
    <x v="3"/>
    <s v="CONTRATADO:  SERVICIOS INTEGRALES DE ARQUITECTURA Y CONSTRUCCIÓN SERARCO S.A.S. CONTRATO 056-2017 _x000a_Se modifica en la versión 4 por solicitud de la Dirección Corporativa"/>
    <n v="62950032"/>
    <x v="0"/>
    <m/>
    <n v="1"/>
    <n v="3"/>
    <n v="2017"/>
    <x v="0"/>
  </r>
  <r>
    <x v="187"/>
    <x v="6"/>
    <s v="Contar con la infraestructura física requerida por la entidad y realizar el control y seguimiento a los bienes y servicios de la entidad"/>
    <x v="212"/>
    <x v="132"/>
    <s v="Mantenimiento"/>
    <x v="0"/>
    <x v="7"/>
    <x v="3"/>
    <n v="1"/>
    <d v="2017-03-28T00:00:00"/>
    <d v="2017-03-28T00:00:00"/>
    <x v="3"/>
    <s v="CONTRATADO:  SERVICIOS INTEGRALES DE ARQUITECTURA Y CONSTRUCCIÓN SERARCO S.A.S. CONTRATO 056-2017 _x000a_Se modifica en la versión 6 por solicitud de la Dirección Corporativa"/>
    <n v="5426568"/>
    <x v="0"/>
    <m/>
    <n v="28"/>
    <n v="3"/>
    <n v="2017"/>
    <x v="0"/>
  </r>
  <r>
    <x v="188"/>
    <x v="6"/>
    <s v="Contar con la infraestructura física requerida por la entidad y realizar el control y seguimiento a los bienes y servicios de la entidad"/>
    <x v="213"/>
    <x v="93"/>
    <s v="Mantenimiento"/>
    <x v="0"/>
    <x v="4"/>
    <x v="6"/>
    <n v="2"/>
    <d v="2017-10-15T00:00:00"/>
    <d v="2017-11-15T00:00:00"/>
    <x v="3"/>
    <m/>
    <m/>
    <x v="43"/>
    <m/>
    <n v="15"/>
    <n v="10"/>
    <n v="2017"/>
    <x v="5"/>
  </r>
  <r>
    <x v="189"/>
    <x v="6"/>
    <s v="Contar con la infraestructura física requerida por la entidad y realizar el control y seguimiento a los bienes y servicios de la entidad"/>
    <x v="214"/>
    <x v="133"/>
    <s v="Arrendamientos"/>
    <x v="0"/>
    <x v="0"/>
    <x v="10"/>
    <n v="12"/>
    <d v="2017-01-15T00:00:00"/>
    <d v="2017-02-01T00:00:00"/>
    <x v="3"/>
    <s v="CONTRATADO FONNEGRA INMOBILIARIA_x000a_CONTRATO No. XXX DE 2017_x000a_Se modifica en la versión 4 por solicitud de la Dirección Corporativa"/>
    <n v="193888200"/>
    <x v="0"/>
    <m/>
    <n v="15"/>
    <n v="1"/>
    <n v="2017"/>
    <x v="0"/>
  </r>
  <r>
    <x v="190"/>
    <x v="6"/>
    <s v="Contribuir al mejoramiento de la Calidad de Vida de los servidores de la RAPE fomentando una armonía personal, laboral y familiar entre los funcionarios de la entidad"/>
    <x v="215"/>
    <x v="5"/>
    <s v="Bienestar Social"/>
    <x v="0"/>
    <x v="0"/>
    <x v="3"/>
    <n v="12"/>
    <d v="2017-06-07T00:00:00"/>
    <d v="2017-07-07T00:00:00"/>
    <x v="3"/>
    <s v="CONTRATADO: COLSUBSIDIO CTO 64-17"/>
    <n v="47826114"/>
    <x v="47"/>
    <m/>
    <n v="7"/>
    <n v="6"/>
    <n v="2017"/>
    <x v="0"/>
  </r>
  <r>
    <x v="191"/>
    <x v="6"/>
    <s v="Contribuir al mejoramiento de la Calidad de Vida de los servidores de la RAPE fomentando una armonía personal, laboral y familiar entre los funcionarios de la entidad"/>
    <x v="216"/>
    <x v="134"/>
    <s v="Salud Ocupacional"/>
    <x v="0"/>
    <x v="4"/>
    <x v="6"/>
    <n v="1"/>
    <d v="2017-11-01T00:00:00"/>
    <d v="2017-12-15T00:00:00"/>
    <x v="3"/>
    <m/>
    <m/>
    <x v="3"/>
    <s v="Natalia Naranjo"/>
    <n v="2"/>
    <n v="10"/>
    <n v="2017"/>
    <x v="3"/>
  </r>
  <r>
    <x v="192"/>
    <x v="6"/>
    <s v="Dar cumplimiento a la normatividad en cuanto a ingreso, permanencia y retiro de los servidores"/>
    <x v="217"/>
    <x v="117"/>
    <s v="Salud Ocupacional"/>
    <x v="0"/>
    <x v="4"/>
    <x v="3"/>
    <n v="10"/>
    <d v="2017-07-15T00:00:00"/>
    <d v="2017-08-01T00:00:00"/>
    <x v="3"/>
    <s v="CONTRATADO: SERVICIOS DE EVENTOS Y VENTAS CON TECNOLOGÍA S.A.S. – SERVENTEC S.A.S._x000a_CTO 073-17 5 MESES"/>
    <n v="2000000"/>
    <x v="0"/>
    <m/>
    <n v="15"/>
    <n v="7"/>
    <n v="2017"/>
    <x v="0"/>
  </r>
  <r>
    <x v="193"/>
    <x v="6"/>
    <s v="Contribuir al mejoramiento de la Calidad de Vida de los servidores de la RAPE fomentando una armonía personal, laboral y familiar entre los funcionarios de la entidad"/>
    <x v="218"/>
    <x v="135"/>
    <s v="Salud Ocupacional"/>
    <x v="0"/>
    <x v="0"/>
    <x v="3"/>
    <n v="2"/>
    <d v="2017-11-01T00:00:00"/>
    <d v="2017-12-01T00:00:00"/>
    <x v="3"/>
    <s v="CONTRATADO: CPR EMERGENCIAS S.A.S. CTO 113-17"/>
    <n v="5100000"/>
    <x v="0"/>
    <s v="Natalia Naranjo"/>
    <n v="22"/>
    <n v="9"/>
    <n v="2017"/>
    <x v="0"/>
  </r>
  <r>
    <x v="194"/>
    <x v="6"/>
    <s v="Contar con la infraestructura física requerida por la entidad y realizar el control y seguimiento a los bienes y servicios de la entidad"/>
    <x v="219"/>
    <x v="53"/>
    <s v="Comunicación y Transporte"/>
    <x v="0"/>
    <x v="3"/>
    <x v="3"/>
    <n v="2"/>
    <d v="2017-02-15T00:00:00"/>
    <d v="2017-03-01T00:00:00"/>
    <x v="3"/>
    <s v="Se crea en la versión 2 por solicitud de la Dirección Corporativa_x000a_CONTRATADO PLATINO VIP 15/02/2017"/>
    <n v="7000000"/>
    <x v="0"/>
    <m/>
    <n v="15"/>
    <n v="2"/>
    <n v="2017"/>
    <x v="0"/>
  </r>
  <r>
    <x v="195"/>
    <x v="6"/>
    <s v="Contar con la infraestructura física requerida por la entidad y realizar el control y seguimiento a los bienes y servicios de la entidad"/>
    <x v="220"/>
    <x v="1"/>
    <s v="N/A"/>
    <x v="1"/>
    <x v="1"/>
    <x v="3"/>
    <n v="12"/>
    <d v="2017-02-27T00:00:00"/>
    <d v="2017-03-15T00:00:00"/>
    <x v="3"/>
    <s v="CONTRATADO: ADICIÓN AL CONTRATO JARGU _x000a_Se crea en la versión 2 por solicitud de la Dirección Corporativa"/>
    <n v="0"/>
    <x v="0"/>
    <m/>
    <n v="27"/>
    <n v="2"/>
    <n v="2017"/>
    <x v="0"/>
  </r>
  <r>
    <x v="196"/>
    <x v="6"/>
    <s v="Contar con la infraestructura física requerida por la entidad y realizar el control y seguimiento a los bienes y servicios de la entidad"/>
    <x v="221"/>
    <x v="136"/>
    <s v="Comunicación y Transporte"/>
    <x v="0"/>
    <x v="3"/>
    <x v="3"/>
    <n v="1"/>
    <d v="2017-03-21T00:00:00"/>
    <d v="2017-03-23T00:00:00"/>
    <x v="3"/>
    <s v="Adición realizada el acontrato 024-2016_x000a_Se crea en la versión 4 por solicitud de la Dirección Corporativa"/>
    <n v="1218359"/>
    <x v="0"/>
    <m/>
    <n v="21"/>
    <n v="3"/>
    <n v="201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1A4535-E5A1-4FD6-951E-54574BF6D7B6}" name="TablaDinámica1" cacheId="2"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4:H26" firstHeaderRow="2" firstDataRow="2" firstDataCol="7" rowPageCount="1" colPageCount="1"/>
  <pivotFields count="21">
    <pivotField axis="axisRow" dataField="1" compact="0" outline="0" subtotalTop="0" showAll="0" defaultSubtotal="0">
      <items count="197">
        <item x="0"/>
        <item x="1"/>
        <item x="2"/>
        <item x="3"/>
        <item x="4"/>
        <item x="5"/>
        <item x="6"/>
        <item x="7"/>
        <item x="8"/>
        <item x="9"/>
        <item x="10"/>
        <item x="11"/>
        <item x="27"/>
        <item x="28"/>
        <item x="29"/>
        <item x="30"/>
        <item x="31"/>
        <item x="32"/>
        <item x="33"/>
        <item x="34"/>
        <item x="49"/>
        <item x="50"/>
        <item x="51"/>
        <item x="52"/>
        <item x="53"/>
        <item x="57"/>
        <item x="58"/>
        <item x="59"/>
        <item x="60"/>
        <item x="61"/>
        <item x="62"/>
        <item x="63"/>
        <item x="82"/>
        <item x="83"/>
        <item x="84"/>
        <item x="85"/>
        <item x="86"/>
        <item x="87"/>
        <item x="88"/>
        <item x="110"/>
        <item x="111"/>
        <item x="112"/>
        <item x="113"/>
        <item x="114"/>
        <item x="115"/>
        <item x="116"/>
        <item x="117"/>
        <item x="118"/>
        <item x="119"/>
        <item x="120"/>
        <item x="121"/>
        <item x="122"/>
        <item x="123"/>
        <item x="124"/>
        <item x="125"/>
        <item x="126"/>
        <item x="127"/>
        <item x="128"/>
        <item x="129"/>
        <item x="130"/>
        <item x="131"/>
        <item x="132"/>
        <item x="133"/>
        <item x="134"/>
        <item x="12"/>
        <item x="13"/>
        <item x="14"/>
        <item x="15"/>
        <item x="16"/>
        <item x="17"/>
        <item x="35"/>
        <item x="36"/>
        <item x="37"/>
        <item x="54"/>
        <item x="64"/>
        <item x="65"/>
        <item x="66"/>
        <item x="89"/>
        <item x="90"/>
        <item x="91"/>
        <item x="92"/>
        <item x="93"/>
        <item x="94"/>
        <item x="95"/>
        <item x="96"/>
        <item x="97"/>
        <item x="98"/>
        <item x="99"/>
        <item x="100"/>
        <item x="101"/>
        <item x="102"/>
        <item x="103"/>
        <item x="135"/>
        <item x="136"/>
        <item x="38"/>
        <item x="137"/>
        <item x="55"/>
        <item x="18"/>
        <item x="19"/>
        <item x="20"/>
        <item x="21"/>
        <item x="22"/>
        <item x="23"/>
        <item x="24"/>
        <item x="25"/>
        <item x="26"/>
        <item x="39"/>
        <item x="40"/>
        <item x="41"/>
        <item x="42"/>
        <item x="43"/>
        <item x="44"/>
        <item x="45"/>
        <item x="46"/>
        <item x="56"/>
        <item x="67"/>
        <item x="47"/>
        <item x="68"/>
        <item x="69"/>
        <item x="70"/>
        <item x="71"/>
        <item x="72"/>
        <item x="73"/>
        <item x="74"/>
        <item x="104"/>
        <item x="105"/>
        <item x="106"/>
        <item x="107"/>
        <item x="108"/>
        <item x="109"/>
        <item x="138"/>
        <item x="139"/>
        <item x="140"/>
        <item x="75"/>
        <item x="76"/>
        <item x="77"/>
        <item x="78"/>
        <item x="79"/>
        <item x="141"/>
        <item x="142"/>
        <item x="143"/>
        <item x="144"/>
        <item x="145"/>
        <item x="146"/>
        <item x="147"/>
        <item x="148"/>
        <item x="149"/>
        <item x="150"/>
        <item x="151"/>
        <item x="152"/>
        <item x="153"/>
        <item x="154"/>
        <item x="155"/>
        <item x="156"/>
        <item x="157"/>
        <item x="158"/>
        <item x="159"/>
        <item x="164"/>
        <item x="165"/>
        <item x="166"/>
        <item x="167"/>
        <item x="168"/>
        <item x="169"/>
        <item x="170"/>
        <item x="171"/>
        <item x="173"/>
        <item x="174"/>
        <item x="175"/>
        <item x="176"/>
        <item x="177"/>
        <item x="178"/>
        <item x="179"/>
        <item x="180"/>
        <item x="181"/>
        <item x="182"/>
        <item x="185"/>
        <item x="186"/>
        <item x="187"/>
        <item x="188"/>
        <item x="189"/>
        <item x="190"/>
        <item x="191"/>
        <item x="192"/>
        <item x="193"/>
        <item x="194"/>
        <item x="195"/>
        <item x="196"/>
        <item x="48"/>
        <item x="80"/>
        <item x="81"/>
        <item x="160"/>
        <item x="161"/>
        <item x="162"/>
        <item x="163"/>
        <item x="172"/>
        <item x="183"/>
        <item x="184"/>
      </items>
    </pivotField>
    <pivotField axis="axisRow" compact="0" outline="0" subtotalTop="0" showAll="0">
      <items count="8">
        <item x="3"/>
        <item x="5"/>
        <item x="4"/>
        <item x="2"/>
        <item x="1"/>
        <item x="0"/>
        <item x="6"/>
        <item t="default"/>
      </items>
    </pivotField>
    <pivotField compact="0" outline="0" subtotalTop="0" showAll="0"/>
    <pivotField axis="axisRow" compact="0" outline="0" subtotalTop="0" showAll="0" defaultSubtotal="0">
      <items count="255">
        <item x="155"/>
        <item x="43"/>
        <item x="97"/>
        <item x="17"/>
        <item x="67"/>
        <item x="95"/>
        <item x="108"/>
        <item x="75"/>
        <item x="157"/>
        <item x="147"/>
        <item x="136"/>
        <item x="129"/>
        <item x="150"/>
        <item x="151"/>
        <item x="100"/>
        <item x="1"/>
        <item x="73"/>
        <item x="68"/>
        <item x="58"/>
        <item x="146"/>
        <item x="59"/>
        <item x="70"/>
        <item x="61"/>
        <item x="160"/>
        <item x="2"/>
        <item x="71"/>
        <item x="82"/>
        <item x="4"/>
        <item x="26"/>
        <item x="12"/>
        <item x="34"/>
        <item x="78"/>
        <item x="144"/>
        <item x="13"/>
        <item x="74"/>
        <item x="42"/>
        <item x="125"/>
        <item x="127"/>
        <item x="128"/>
        <item x="36"/>
        <item x="116"/>
        <item x="16"/>
        <item x="60"/>
        <item x="18"/>
        <item x="0"/>
        <item x="41"/>
        <item x="14"/>
        <item x="15"/>
        <item x="158"/>
        <item x="161"/>
        <item x="165"/>
        <item x="164"/>
        <item x="159"/>
        <item x="134"/>
        <item x="163"/>
        <item x="132"/>
        <item x="66"/>
        <item x="101"/>
        <item x="117"/>
        <item x="106"/>
        <item x="80"/>
        <item x="120"/>
        <item x="113"/>
        <item x="131"/>
        <item x="130"/>
        <item x="44"/>
        <item x="25"/>
        <item x="72"/>
        <item x="103"/>
        <item x="105"/>
        <item x="104"/>
        <item x="102"/>
        <item x="110"/>
        <item x="69"/>
        <item x="99"/>
        <item x="62"/>
        <item x="137"/>
        <item x="65"/>
        <item x="96"/>
        <item x="7"/>
        <item x="6"/>
        <item x="154"/>
        <item x="114"/>
        <item x="124"/>
        <item x="40"/>
        <item x="118"/>
        <item x="98"/>
        <item x="115"/>
        <item x="3"/>
        <item x="5"/>
        <item x="156"/>
        <item x="33"/>
        <item x="152"/>
        <item x="94"/>
        <item x="29"/>
        <item x="11"/>
        <item x="107"/>
        <item x="109"/>
        <item x="111"/>
        <item x="112"/>
        <item x="46"/>
        <item x="64"/>
        <item x="32"/>
        <item x="139"/>
        <item x="63"/>
        <item x="22"/>
        <item x="48"/>
        <item x="21"/>
        <item x="8"/>
        <item x="20"/>
        <item x="141"/>
        <item x="39"/>
        <item x="51"/>
        <item x="135"/>
        <item x="76"/>
        <item x="28"/>
        <item x="55"/>
        <item x="148"/>
        <item x="149"/>
        <item x="30"/>
        <item x="77"/>
        <item x="79"/>
        <item x="85"/>
        <item x="86"/>
        <item x="87"/>
        <item x="88"/>
        <item x="89"/>
        <item x="142"/>
        <item x="145"/>
        <item x="153"/>
        <item x="27"/>
        <item x="50"/>
        <item x="53"/>
        <item x="83"/>
        <item x="133"/>
        <item x="35"/>
        <item x="37"/>
        <item x="54"/>
        <item x="91"/>
        <item x="92"/>
        <item x="119"/>
        <item x="24"/>
        <item x="121"/>
        <item x="122"/>
        <item x="123"/>
        <item x="126"/>
        <item x="138"/>
        <item x="140"/>
        <item m="1" x="224"/>
        <item m="1" x="226"/>
        <item m="1" x="225"/>
        <item m="1" x="223"/>
        <item x="169"/>
        <item x="170"/>
        <item x="171"/>
        <item x="172"/>
        <item x="173"/>
        <item x="174"/>
        <item x="175"/>
        <item x="176"/>
        <item x="177"/>
        <item x="178"/>
        <item x="179"/>
        <item x="180"/>
        <item x="181"/>
        <item x="182"/>
        <item x="183"/>
        <item x="184"/>
        <item x="189"/>
        <item x="190"/>
        <item x="191"/>
        <item x="192"/>
        <item x="193"/>
        <item x="194"/>
        <item x="195"/>
        <item x="196"/>
        <item x="197"/>
        <item x="199"/>
        <item x="200"/>
        <item x="202"/>
        <item x="203"/>
        <item x="204"/>
        <item x="205"/>
        <item x="206"/>
        <item x="207"/>
        <item x="208"/>
        <item x="209"/>
        <item x="210"/>
        <item x="211"/>
        <item x="212"/>
        <item x="213"/>
        <item x="214"/>
        <item x="215"/>
        <item x="216"/>
        <item x="217"/>
        <item x="218"/>
        <item x="219"/>
        <item x="220"/>
        <item x="221"/>
        <item m="1" x="222"/>
        <item m="1" x="238"/>
        <item m="1" x="241"/>
        <item m="1" x="247"/>
        <item m="1" x="231"/>
        <item m="1" x="235"/>
        <item m="1" x="239"/>
        <item m="1" x="234"/>
        <item m="1" x="244"/>
        <item m="1" x="253"/>
        <item m="1" x="252"/>
        <item m="1" x="230"/>
        <item m="1" x="243"/>
        <item m="1" x="251"/>
        <item m="1" x="237"/>
        <item m="1" x="249"/>
        <item m="1" x="229"/>
        <item m="1" x="236"/>
        <item m="1" x="232"/>
        <item m="1" x="254"/>
        <item m="1" x="240"/>
        <item m="1" x="233"/>
        <item m="1" x="228"/>
        <item m="1" x="248"/>
        <item m="1" x="246"/>
        <item m="1" x="242"/>
        <item m="1" x="245"/>
        <item m="1" x="250"/>
        <item m="1" x="227"/>
        <item x="9"/>
        <item x="10"/>
        <item x="19"/>
        <item x="23"/>
        <item x="31"/>
        <item x="38"/>
        <item x="47"/>
        <item x="49"/>
        <item x="52"/>
        <item x="56"/>
        <item x="57"/>
        <item x="81"/>
        <item x="84"/>
        <item x="90"/>
        <item x="93"/>
        <item x="143"/>
        <item x="162"/>
        <item x="166"/>
        <item x="167"/>
        <item x="201"/>
        <item x="168"/>
        <item x="185"/>
        <item x="186"/>
        <item x="187"/>
        <item x="188"/>
        <item x="198"/>
        <item x="45"/>
      </items>
    </pivotField>
    <pivotField axis="axisRow" compact="0" outline="0" subtotalTop="0" showAll="0" defaultSubtotal="0">
      <items count="176">
        <item x="1"/>
        <item x="41"/>
        <item x="21"/>
        <item x="93"/>
        <item x="53"/>
        <item x="47"/>
        <item x="83"/>
        <item x="76"/>
        <item x="11"/>
        <item x="89"/>
        <item x="32"/>
        <item x="63"/>
        <item x="78"/>
        <item m="1" x="157"/>
        <item x="14"/>
        <item x="29"/>
        <item x="84"/>
        <item x="68"/>
        <item x="73"/>
        <item x="86"/>
        <item x="3"/>
        <item x="23"/>
        <item x="57"/>
        <item x="74"/>
        <item x="90"/>
        <item x="62"/>
        <item x="12"/>
        <item x="88"/>
        <item x="6"/>
        <item x="46"/>
        <item x="44"/>
        <item x="40"/>
        <item x="67"/>
        <item x="42"/>
        <item x="4"/>
        <item x="65"/>
        <item x="94"/>
        <item x="92"/>
        <item x="24"/>
        <item x="52"/>
        <item x="75"/>
        <item x="22"/>
        <item x="43"/>
        <item x="72"/>
        <item x="64"/>
        <item x="91"/>
        <item x="9"/>
        <item x="2"/>
        <item x="87"/>
        <item x="5"/>
        <item x="16"/>
        <item x="8"/>
        <item x="49"/>
        <item x="51"/>
        <item x="82"/>
        <item x="10"/>
        <item x="71"/>
        <item x="18"/>
        <item x="15"/>
        <item x="20"/>
        <item x="56"/>
        <item x="37"/>
        <item x="54"/>
        <item x="25"/>
        <item x="59"/>
        <item x="69"/>
        <item x="17"/>
        <item x="26"/>
        <item m="1" x="162"/>
        <item m="1" x="147"/>
        <item m="1" x="140"/>
        <item m="1" x="142"/>
        <item m="1" x="144"/>
        <item m="1" x="160"/>
        <item m="1" x="153"/>
        <item m="1" x="155"/>
        <item m="1" x="175"/>
        <item m="1" x="139"/>
        <item m="1" x="148"/>
        <item m="1" x="171"/>
        <item x="97"/>
        <item x="98"/>
        <item x="99"/>
        <item m="1" x="165"/>
        <item m="1" x="164"/>
        <item x="101"/>
        <item x="102"/>
        <item x="103"/>
        <item x="108"/>
        <item m="1" x="146"/>
        <item x="110"/>
        <item m="1" x="173"/>
        <item x="112"/>
        <item x="113"/>
        <item m="1" x="141"/>
        <item m="1" x="166"/>
        <item x="116"/>
        <item x="117"/>
        <item x="118"/>
        <item x="121"/>
        <item x="122"/>
        <item x="123"/>
        <item x="124"/>
        <item x="125"/>
        <item x="126"/>
        <item x="127"/>
        <item x="128"/>
        <item x="129"/>
        <item x="130"/>
        <item x="131"/>
        <item m="1" x="152"/>
        <item x="133"/>
        <item x="134"/>
        <item x="135"/>
        <item x="136"/>
        <item m="1" x="170"/>
        <item m="1" x="158"/>
        <item m="1" x="163"/>
        <item m="1" x="154"/>
        <item m="1" x="151"/>
        <item m="1" x="137"/>
        <item m="1" x="172"/>
        <item m="1" x="150"/>
        <item m="1" x="149"/>
        <item m="1" x="143"/>
        <item m="1" x="169"/>
        <item m="1" x="159"/>
        <item m="1" x="145"/>
        <item m="1" x="174"/>
        <item m="1" x="138"/>
        <item m="1" x="156"/>
        <item m="1" x="167"/>
        <item m="1" x="161"/>
        <item x="0"/>
        <item x="7"/>
        <item x="13"/>
        <item x="19"/>
        <item x="27"/>
        <item m="1" x="168"/>
        <item x="31"/>
        <item x="33"/>
        <item x="34"/>
        <item x="35"/>
        <item x="36"/>
        <item x="38"/>
        <item x="39"/>
        <item x="45"/>
        <item x="48"/>
        <item x="50"/>
        <item x="55"/>
        <item x="58"/>
        <item x="60"/>
        <item x="61"/>
        <item x="77"/>
        <item x="79"/>
        <item x="80"/>
        <item x="81"/>
        <item x="85"/>
        <item x="95"/>
        <item x="96"/>
        <item x="100"/>
        <item x="104"/>
        <item x="105"/>
        <item x="106"/>
        <item x="107"/>
        <item x="109"/>
        <item x="111"/>
        <item x="114"/>
        <item x="115"/>
        <item x="119"/>
        <item x="120"/>
        <item x="28"/>
        <item x="30"/>
        <item x="66"/>
        <item x="70"/>
        <item x="132"/>
      </items>
    </pivotField>
    <pivotField compact="0" outline="0" subtotalTop="0" showAll="0"/>
    <pivotField axis="axisPage" compact="0" outline="0" subtotalTop="0" multipleItemSelectionAllowed="1" showAll="0">
      <items count="3">
        <item x="1"/>
        <item x="0"/>
        <item t="default"/>
      </items>
    </pivotField>
    <pivotField axis="axisRow" compact="0" outline="0" subtotalTop="0" showAll="0" defaultSubtotal="0">
      <items count="9">
        <item x="8"/>
        <item x="5"/>
        <item x="0"/>
        <item x="2"/>
        <item x="4"/>
        <item x="3"/>
        <item x="1"/>
        <item x="6"/>
        <item x="7"/>
      </items>
    </pivotField>
    <pivotField axis="axisRow" compact="0" outline="0" subtotalTop="0" showAll="0" defaultSubtotal="0">
      <items count="11">
        <item x="6"/>
        <item x="5"/>
        <item x="9"/>
        <item x="4"/>
        <item x="8"/>
        <item x="2"/>
        <item x="1"/>
        <item x="0"/>
        <item x="3"/>
        <item x="7"/>
        <item x="10"/>
      </items>
    </pivotField>
    <pivotField compact="0" outline="0" subtotalTop="0" showAll="0"/>
    <pivotField compact="0" outline="0" showAll="0" defaultSubtotal="0"/>
    <pivotField compact="0" outline="0" subtotalTop="0" showAll="0"/>
    <pivotField compact="0" outline="0" subtotalTop="0" showAll="0" defaultSubtotal="0">
      <items count="4">
        <item x="3"/>
        <item x="1"/>
        <item x="0"/>
        <item x="2"/>
      </items>
    </pivotField>
    <pivotField compact="0" outline="0" subtotalTop="0" showAll="0"/>
    <pivotField compact="0" outline="0" subtotalTop="0" showAll="0"/>
    <pivotField compact="0" outline="0" subtotalTop="0" showAll="0"/>
    <pivotField compact="0" outline="0" showAll="0"/>
    <pivotField compact="0" outline="0" showAll="0"/>
    <pivotField compact="0" outline="0" showAll="0"/>
    <pivotField compact="0" outline="0" showAll="0"/>
    <pivotField axis="axisRow" compact="0" outline="0" multipleItemSelectionAllowed="1" showAll="0" defaultSubtotal="0">
      <items count="10">
        <item h="1" x="0"/>
        <item x="4"/>
        <item x="3"/>
        <item h="1" x="1"/>
        <item h="1" x="2"/>
        <item h="1" x="5"/>
        <item h="1" m="1" x="6"/>
        <item h="1" m="1" x="7"/>
        <item h="1" m="1" x="9"/>
        <item h="1" m="1" x="8"/>
      </items>
    </pivotField>
  </pivotFields>
  <rowFields count="7">
    <field x="1"/>
    <field x="20"/>
    <field x="7"/>
    <field x="8"/>
    <field x="0"/>
    <field x="3"/>
    <field x="4"/>
  </rowFields>
  <rowItems count="21">
    <i>
      <x/>
      <x v="2"/>
      <x v="2"/>
      <x v="7"/>
      <x v="119"/>
      <x v="239"/>
      <x v="4"/>
    </i>
    <i r="2">
      <x v="5"/>
      <x v="2"/>
      <x v="135"/>
      <x v="241"/>
      <x v="150"/>
    </i>
    <i r="3">
      <x v="8"/>
      <x v="121"/>
      <x v="240"/>
      <x v="149"/>
    </i>
    <i t="default">
      <x/>
    </i>
    <i>
      <x v="1"/>
      <x v="1"/>
      <x/>
      <x v="8"/>
      <x v="191"/>
      <x v="250"/>
      <x v="162"/>
    </i>
    <i r="2">
      <x v="2"/>
      <x v="7"/>
      <x v="138"/>
      <x v="246"/>
      <x v="5"/>
    </i>
    <i r="2">
      <x v="4"/>
      <x/>
      <x v="144"/>
      <x v="156"/>
      <x v="22"/>
    </i>
    <i r="2">
      <x v="8"/>
      <x v="8"/>
      <x v="56"/>
      <x v="12"/>
      <x v="12"/>
    </i>
    <i r="1">
      <x v="2"/>
      <x/>
      <x v="8"/>
      <x v="156"/>
      <x v="167"/>
      <x v="87"/>
    </i>
    <i r="2">
      <x v="2"/>
      <x v="7"/>
      <x v="51"/>
      <x v="243"/>
      <x v="155"/>
    </i>
    <i r="2">
      <x v="4"/>
      <x v="8"/>
      <x v="153"/>
      <x v="164"/>
      <x v="17"/>
    </i>
    <i t="default">
      <x v="1"/>
    </i>
    <i>
      <x v="4"/>
      <x v="1"/>
      <x v="1"/>
      <x v="1"/>
      <x v="113"/>
      <x v="116"/>
      <x v="61"/>
    </i>
    <i r="1">
      <x v="2"/>
      <x v="2"/>
      <x v="3"/>
      <x v="12"/>
      <x v="232"/>
      <x v="58"/>
    </i>
    <i t="default">
      <x v="4"/>
    </i>
    <i>
      <x v="6"/>
      <x v="1"/>
      <x/>
      <x/>
      <x v="163"/>
      <x v="175"/>
      <x v="96"/>
    </i>
    <i r="1">
      <x v="2"/>
      <x v="2"/>
      <x v="8"/>
      <x v="167"/>
      <x v="247"/>
      <x v="170"/>
    </i>
    <i r="2">
      <x v="4"/>
      <x/>
      <x v="181"/>
      <x v="193"/>
      <x v="112"/>
    </i>
    <i r="4">
      <x v="194"/>
      <x v="253"/>
      <x v="3"/>
    </i>
    <i t="default">
      <x v="6"/>
    </i>
    <i t="grand">
      <x/>
    </i>
  </rowItems>
  <colItems count="1">
    <i/>
  </colItems>
  <pageFields count="1">
    <pageField fld="6" hier="-1"/>
  </pageFields>
  <dataFields count="1">
    <dataField name="Cuenta de No. PROCESO" fld="0" subtotal="count" baseField="0" baseItem="0"/>
  </dataFields>
  <formats count="470">
    <format dxfId="708">
      <pivotArea type="origin" dataOnly="0" labelOnly="1" outline="0" fieldPosition="0"/>
    </format>
    <format dxfId="707">
      <pivotArea field="12" type="button" dataOnly="0" labelOnly="1" outline="0"/>
    </format>
    <format dxfId="706">
      <pivotArea dataOnly="0" labelOnly="1" grandRow="1" outline="0" fieldPosition="0"/>
    </format>
    <format dxfId="705">
      <pivotArea dataOnly="0" outline="0" fieldPosition="0">
        <references count="1">
          <reference field="20" count="0" defaultSubtotal="1"/>
        </references>
      </pivotArea>
    </format>
    <format dxfId="704">
      <pivotArea dataOnly="0" outline="0" fieldPosition="0">
        <references count="1">
          <reference field="20" count="0" defaultSubtotal="1"/>
        </references>
      </pivotArea>
    </format>
    <format dxfId="703">
      <pivotArea dataOnly="0" outline="0" fieldPosition="0">
        <references count="1">
          <reference field="20" count="0" defaultSubtotal="1"/>
        </references>
      </pivotArea>
    </format>
    <format dxfId="702">
      <pivotArea field="6" type="button" dataOnly="0" labelOnly="1" outline="0" axis="axisPage" fieldPosition="0"/>
    </format>
    <format dxfId="701">
      <pivotArea type="origin" dataOnly="0" labelOnly="1" outline="0" fieldPosition="0"/>
    </format>
    <format dxfId="700">
      <pivotArea field="1" type="button" dataOnly="0" labelOnly="1" outline="0" axis="axisRow" fieldPosition="0"/>
    </format>
    <format dxfId="699">
      <pivotArea dataOnly="0" labelOnly="1" outline="0" fieldPosition="0">
        <references count="1">
          <reference field="1" count="1">
            <x v="0"/>
          </reference>
        </references>
      </pivotArea>
    </format>
    <format dxfId="698">
      <pivotArea dataOnly="0" labelOnly="1" outline="0" fieldPosition="0">
        <references count="1">
          <reference field="1" count="1" defaultSubtotal="1">
            <x v="0"/>
          </reference>
        </references>
      </pivotArea>
    </format>
    <format dxfId="697">
      <pivotArea dataOnly="0" labelOnly="1" outline="0" fieldPosition="0">
        <references count="1">
          <reference field="1" count="1">
            <x v="1"/>
          </reference>
        </references>
      </pivotArea>
    </format>
    <format dxfId="696">
      <pivotArea dataOnly="0" labelOnly="1" outline="0" fieldPosition="0">
        <references count="1">
          <reference field="1" count="1" defaultSubtotal="1">
            <x v="1"/>
          </reference>
        </references>
      </pivotArea>
    </format>
    <format dxfId="695">
      <pivotArea dataOnly="0" labelOnly="1" outline="0" fieldPosition="0">
        <references count="1">
          <reference field="1" count="1">
            <x v="4"/>
          </reference>
        </references>
      </pivotArea>
    </format>
    <format dxfId="694">
      <pivotArea dataOnly="0" labelOnly="1" outline="0" fieldPosition="0">
        <references count="1">
          <reference field="1" count="1" defaultSubtotal="1">
            <x v="4"/>
          </reference>
        </references>
      </pivotArea>
    </format>
    <format dxfId="693">
      <pivotArea dataOnly="0" labelOnly="1" outline="0" fieldPosition="0">
        <references count="1">
          <reference field="1" count="1">
            <x v="5"/>
          </reference>
        </references>
      </pivotArea>
    </format>
    <format dxfId="692">
      <pivotArea dataOnly="0" labelOnly="1" outline="0" fieldPosition="0">
        <references count="1">
          <reference field="1" count="1" defaultSubtotal="1">
            <x v="5"/>
          </reference>
        </references>
      </pivotArea>
    </format>
    <format dxfId="691">
      <pivotArea dataOnly="0" labelOnly="1" outline="0" fieldPosition="0">
        <references count="1">
          <reference field="1" count="1">
            <x v="6"/>
          </reference>
        </references>
      </pivotArea>
    </format>
    <format dxfId="690">
      <pivotArea dataOnly="0" labelOnly="1" outline="0" fieldPosition="0">
        <references count="1">
          <reference field="1" count="1" defaultSubtotal="1">
            <x v="6"/>
          </reference>
        </references>
      </pivotArea>
    </format>
    <format dxfId="689">
      <pivotArea dataOnly="0" labelOnly="1" grandRow="1" outline="0" fieldPosition="0"/>
    </format>
    <format dxfId="688">
      <pivotArea outline="0" fieldPosition="0">
        <references count="7">
          <reference field="0" count="4" selected="0">
            <x v="119"/>
            <x v="121"/>
            <x v="132"/>
            <x v="135"/>
          </reference>
          <reference field="1" count="1" selected="0">
            <x v="0"/>
          </reference>
          <reference field="3" count="4" selected="0">
            <x v="239"/>
            <x v="240"/>
            <x v="241"/>
            <x v="245"/>
          </reference>
          <reference field="4" count="4" selected="0">
            <x v="4"/>
            <x v="149"/>
            <x v="150"/>
            <x v="158"/>
          </reference>
          <reference field="7" count="2" selected="0">
            <x v="2"/>
            <x v="5"/>
          </reference>
          <reference field="8" count="3" selected="0">
            <x v="2"/>
            <x v="7"/>
            <x v="8"/>
          </reference>
          <reference field="20" count="1" selected="0">
            <x v="2"/>
          </reference>
        </references>
      </pivotArea>
    </format>
    <format dxfId="687">
      <pivotArea dataOnly="0" labelOnly="1" outline="0" fieldPosition="0">
        <references count="2">
          <reference field="1" count="1" selected="0">
            <x v="0"/>
          </reference>
          <reference field="20" count="1">
            <x v="2"/>
          </reference>
        </references>
      </pivotArea>
    </format>
    <format dxfId="686">
      <pivotArea dataOnly="0" labelOnly="1" outline="0" fieldPosition="0">
        <references count="3">
          <reference field="1" count="1" selected="0">
            <x v="0"/>
          </reference>
          <reference field="7" count="2">
            <x v="2"/>
            <x v="5"/>
          </reference>
          <reference field="20" count="1" selected="0">
            <x v="2"/>
          </reference>
        </references>
      </pivotArea>
    </format>
    <format dxfId="685">
      <pivotArea dataOnly="0" labelOnly="1" outline="0" fieldPosition="0">
        <references count="4">
          <reference field="1" count="1" selected="0">
            <x v="0"/>
          </reference>
          <reference field="7" count="1" selected="0">
            <x v="2"/>
          </reference>
          <reference field="8" count="1">
            <x v="7"/>
          </reference>
          <reference field="20" count="1" selected="0">
            <x v="2"/>
          </reference>
        </references>
      </pivotArea>
    </format>
    <format dxfId="684">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683">
      <pivotArea dataOnly="0" labelOnly="1" outline="0" fieldPosition="0">
        <references count="5">
          <reference field="0" count="2">
            <x v="119"/>
            <x v="132"/>
          </reference>
          <reference field="1" count="1" selected="0">
            <x v="0"/>
          </reference>
          <reference field="7" count="1" selected="0">
            <x v="2"/>
          </reference>
          <reference field="8" count="1" selected="0">
            <x v="7"/>
          </reference>
          <reference field="20" count="1" selected="0">
            <x v="2"/>
          </reference>
        </references>
      </pivotArea>
    </format>
    <format dxfId="682">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681">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680">
      <pivotArea dataOnly="0" labelOnly="1" outline="0" fieldPosition="0">
        <references count="6">
          <reference field="0" count="1" selected="0">
            <x v="119"/>
          </reference>
          <reference field="1" count="1" selected="0">
            <x v="0"/>
          </reference>
          <reference field="3" count="1">
            <x v="239"/>
          </reference>
          <reference field="7" count="1" selected="0">
            <x v="2"/>
          </reference>
          <reference field="8" count="1" selected="0">
            <x v="7"/>
          </reference>
          <reference field="20" count="1" selected="0">
            <x v="2"/>
          </reference>
        </references>
      </pivotArea>
    </format>
    <format dxfId="679">
      <pivotArea dataOnly="0" labelOnly="1" outline="0" fieldPosition="0">
        <references count="6">
          <reference field="0" count="1" selected="0">
            <x v="132"/>
          </reference>
          <reference field="1" count="1" selected="0">
            <x v="0"/>
          </reference>
          <reference field="3" count="1">
            <x v="245"/>
          </reference>
          <reference field="7" count="1" selected="0">
            <x v="2"/>
          </reference>
          <reference field="8" count="1" selected="0">
            <x v="7"/>
          </reference>
          <reference field="20" count="1" selected="0">
            <x v="2"/>
          </reference>
        </references>
      </pivotArea>
    </format>
    <format dxfId="678">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677">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676">
      <pivotArea dataOnly="0" labelOnly="1" outline="0" fieldPosition="0">
        <references count="7">
          <reference field="0" count="1" selected="0">
            <x v="119"/>
          </reference>
          <reference field="1" count="1" selected="0">
            <x v="0"/>
          </reference>
          <reference field="3" count="1" selected="0">
            <x v="239"/>
          </reference>
          <reference field="4" count="1">
            <x v="4"/>
          </reference>
          <reference field="7" count="1" selected="0">
            <x v="2"/>
          </reference>
          <reference field="8" count="1" selected="0">
            <x v="7"/>
          </reference>
          <reference field="20" count="1" selected="0">
            <x v="2"/>
          </reference>
        </references>
      </pivotArea>
    </format>
    <format dxfId="675">
      <pivotArea dataOnly="0" labelOnly="1" outline="0" fieldPosition="0">
        <references count="7">
          <reference field="0" count="1" selected="0">
            <x v="132"/>
          </reference>
          <reference field="1" count="1" selected="0">
            <x v="0"/>
          </reference>
          <reference field="3" count="1" selected="0">
            <x v="245"/>
          </reference>
          <reference field="4" count="1">
            <x v="158"/>
          </reference>
          <reference field="7" count="1" selected="0">
            <x v="2"/>
          </reference>
          <reference field="8" count="1" selected="0">
            <x v="7"/>
          </reference>
          <reference field="20" count="1" selected="0">
            <x v="2"/>
          </reference>
        </references>
      </pivotArea>
    </format>
    <format dxfId="674">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673">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672">
      <pivotArea outline="0" fieldPosition="0">
        <references count="7">
          <reference field="0" count="10" selected="0">
            <x v="51"/>
            <x v="56"/>
            <x v="57"/>
            <x v="138"/>
            <x v="139"/>
            <x v="144"/>
            <x v="145"/>
            <x v="153"/>
            <x v="156"/>
            <x v="191"/>
          </reference>
          <reference field="1" count="1" selected="0">
            <x v="1"/>
          </reference>
          <reference field="3" count="10" selected="0">
            <x v="12"/>
            <x v="13"/>
            <x v="156"/>
            <x v="157"/>
            <x v="164"/>
            <x v="167"/>
            <x v="243"/>
            <x v="246"/>
            <x v="248"/>
            <x v="250"/>
          </reference>
          <reference field="4" count="10" selected="0">
            <x v="5"/>
            <x v="12"/>
            <x v="17"/>
            <x v="22"/>
            <x v="80"/>
            <x v="87"/>
            <x v="155"/>
            <x v="157"/>
            <x v="159"/>
            <x v="162"/>
          </reference>
          <reference field="7" count="4" selected="0">
            <x v="0"/>
            <x v="2"/>
            <x v="4"/>
            <x v="8"/>
          </reference>
          <reference field="8" count="3" selected="0">
            <x v="0"/>
            <x v="7"/>
            <x v="8"/>
          </reference>
          <reference field="20" count="0" selected="0"/>
        </references>
      </pivotArea>
    </format>
    <format dxfId="671">
      <pivotArea dataOnly="0" labelOnly="1" outline="0" fieldPosition="0">
        <references count="2">
          <reference field="1" count="1" selected="0">
            <x v="1"/>
          </reference>
          <reference field="20" count="0"/>
        </references>
      </pivotArea>
    </format>
    <format dxfId="670">
      <pivotArea dataOnly="0" labelOnly="1" outline="0" fieldPosition="0">
        <references count="3">
          <reference field="1" count="1" selected="0">
            <x v="1"/>
          </reference>
          <reference field="7" count="3">
            <x v="0"/>
            <x v="4"/>
            <x v="8"/>
          </reference>
          <reference field="20" count="1" selected="0">
            <x v="1"/>
          </reference>
        </references>
      </pivotArea>
    </format>
    <format dxfId="669">
      <pivotArea dataOnly="0" labelOnly="1" outline="0" fieldPosition="0">
        <references count="3">
          <reference field="1" count="1" selected="0">
            <x v="1"/>
          </reference>
          <reference field="7" count="3">
            <x v="0"/>
            <x v="2"/>
            <x v="4"/>
          </reference>
          <reference field="20" count="1" selected="0">
            <x v="2"/>
          </reference>
        </references>
      </pivotArea>
    </format>
    <format dxfId="668">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667">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666">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665">
      <pivotArea dataOnly="0" labelOnly="1" outline="0" fieldPosition="0">
        <references count="4">
          <reference field="1" count="1" selected="0">
            <x v="1"/>
          </reference>
          <reference field="7" count="1" selected="0">
            <x v="2"/>
          </reference>
          <reference field="8" count="2">
            <x v="7"/>
            <x v="8"/>
          </reference>
          <reference field="20" count="1" selected="0">
            <x v="2"/>
          </reference>
        </references>
      </pivotArea>
    </format>
    <format dxfId="664">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663">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662">
      <pivotArea dataOnly="0" labelOnly="1" outline="0" fieldPosition="0">
        <references count="5">
          <reference field="0" count="1">
            <x v="57"/>
          </reference>
          <reference field="1" count="1" selected="0">
            <x v="1"/>
          </reference>
          <reference field="7" count="1" selected="0">
            <x v="8"/>
          </reference>
          <reference field="8" count="1" selected="0">
            <x v="0"/>
          </reference>
          <reference field="20" count="1" selected="0">
            <x v="1"/>
          </reference>
        </references>
      </pivotArea>
    </format>
    <format dxfId="661">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660">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659">
      <pivotArea dataOnly="0" labelOnly="1" outline="0" fieldPosition="0">
        <references count="5">
          <reference field="0" count="2">
            <x v="51"/>
            <x v="138"/>
          </reference>
          <reference field="1" count="1" selected="0">
            <x v="1"/>
          </reference>
          <reference field="7" count="1" selected="0">
            <x v="2"/>
          </reference>
          <reference field="8" count="1" selected="0">
            <x v="7"/>
          </reference>
          <reference field="20" count="1" selected="0">
            <x v="2"/>
          </reference>
        </references>
      </pivotArea>
    </format>
    <format dxfId="658">
      <pivotArea dataOnly="0" labelOnly="1" outline="0" fieldPosition="0">
        <references count="5">
          <reference field="0" count="1">
            <x v="145"/>
          </reference>
          <reference field="1" count="1" selected="0">
            <x v="1"/>
          </reference>
          <reference field="7" count="1" selected="0">
            <x v="2"/>
          </reference>
          <reference field="8" count="1" selected="0">
            <x v="8"/>
          </reference>
          <reference field="20" count="1" selected="0">
            <x v="2"/>
          </reference>
        </references>
      </pivotArea>
    </format>
    <format dxfId="657">
      <pivotArea dataOnly="0" labelOnly="1" outline="0" fieldPosition="0">
        <references count="5">
          <reference field="0" count="2">
            <x v="139"/>
            <x v="153"/>
          </reference>
          <reference field="1" count="1" selected="0">
            <x v="1"/>
          </reference>
          <reference field="7" count="1" selected="0">
            <x v="4"/>
          </reference>
          <reference field="8" count="1" selected="0">
            <x v="8"/>
          </reference>
          <reference field="20" count="1" selected="0">
            <x v="2"/>
          </reference>
        </references>
      </pivotArea>
    </format>
    <format dxfId="656">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655">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654">
      <pivotArea dataOnly="0" labelOnly="1" outline="0" fieldPosition="0">
        <references count="6">
          <reference field="0" count="1" selected="0">
            <x v="57"/>
          </reference>
          <reference field="1" count="1" selected="0">
            <x v="1"/>
          </reference>
          <reference field="3" count="1">
            <x v="13"/>
          </reference>
          <reference field="7" count="1" selected="0">
            <x v="8"/>
          </reference>
          <reference field="8" count="1" selected="0">
            <x v="0"/>
          </reference>
          <reference field="20" count="1" selected="0">
            <x v="1"/>
          </reference>
        </references>
      </pivotArea>
    </format>
    <format dxfId="653">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652">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651">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650">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2"/>
          </reference>
        </references>
      </pivotArea>
    </format>
    <format dxfId="649">
      <pivotArea dataOnly="0" labelOnly="1" outline="0" fieldPosition="0">
        <references count="6">
          <reference field="0" count="1" selected="0">
            <x v="145"/>
          </reference>
          <reference field="1" count="1" selected="0">
            <x v="1"/>
          </reference>
          <reference field="3" count="1">
            <x v="157"/>
          </reference>
          <reference field="7" count="1" selected="0">
            <x v="2"/>
          </reference>
          <reference field="8" count="1" selected="0">
            <x v="8"/>
          </reference>
          <reference field="20" count="1" selected="0">
            <x v="2"/>
          </reference>
        </references>
      </pivotArea>
    </format>
    <format dxfId="648">
      <pivotArea dataOnly="0" labelOnly="1" outline="0" fieldPosition="0">
        <references count="6">
          <reference field="0" count="1" selected="0">
            <x v="139"/>
          </reference>
          <reference field="1" count="1" selected="0">
            <x v="1"/>
          </reference>
          <reference field="3" count="1">
            <x v="248"/>
          </reference>
          <reference field="7" count="1" selected="0">
            <x v="4"/>
          </reference>
          <reference field="8" count="1" selected="0">
            <x v="8"/>
          </reference>
          <reference field="20" count="1" selected="0">
            <x v="2"/>
          </reference>
        </references>
      </pivotArea>
    </format>
    <format dxfId="647">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646">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645">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644">
      <pivotArea dataOnly="0" labelOnly="1" outline="0" fieldPosition="0">
        <references count="7">
          <reference field="0" count="1" selected="0">
            <x v="57"/>
          </reference>
          <reference field="1" count="1" selected="0">
            <x v="1"/>
          </reference>
          <reference field="3" count="1" selected="0">
            <x v="13"/>
          </reference>
          <reference field="4" count="1">
            <x v="157"/>
          </reference>
          <reference field="7" count="1" selected="0">
            <x v="8"/>
          </reference>
          <reference field="8" count="1" selected="0">
            <x v="0"/>
          </reference>
          <reference field="20" count="1" selected="0">
            <x v="1"/>
          </reference>
        </references>
      </pivotArea>
    </format>
    <format dxfId="643">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642">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641">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640">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2"/>
          </reference>
        </references>
      </pivotArea>
    </format>
    <format dxfId="639">
      <pivotArea dataOnly="0" labelOnly="1" outline="0" fieldPosition="0">
        <references count="7">
          <reference field="0" count="1" selected="0">
            <x v="145"/>
          </reference>
          <reference field="1" count="1" selected="0">
            <x v="1"/>
          </reference>
          <reference field="3" count="1" selected="0">
            <x v="157"/>
          </reference>
          <reference field="4" count="1">
            <x v="80"/>
          </reference>
          <reference field="7" count="1" selected="0">
            <x v="2"/>
          </reference>
          <reference field="8" count="1" selected="0">
            <x v="8"/>
          </reference>
          <reference field="20" count="1" selected="0">
            <x v="2"/>
          </reference>
        </references>
      </pivotArea>
    </format>
    <format dxfId="638">
      <pivotArea dataOnly="0" labelOnly="1" outline="0" fieldPosition="0">
        <references count="7">
          <reference field="0" count="1" selected="0">
            <x v="139"/>
          </reference>
          <reference field="1" count="1" selected="0">
            <x v="1"/>
          </reference>
          <reference field="3" count="1" selected="0">
            <x v="248"/>
          </reference>
          <reference field="4" count="1">
            <x v="159"/>
          </reference>
          <reference field="7" count="1" selected="0">
            <x v="4"/>
          </reference>
          <reference field="8" count="1" selected="0">
            <x v="8"/>
          </reference>
          <reference field="20" count="1" selected="0">
            <x v="2"/>
          </reference>
        </references>
      </pivotArea>
    </format>
    <format dxfId="637">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636">
      <pivotArea outline="0" fieldPosition="0">
        <references count="7">
          <reference field="0" count="3" selected="0">
            <x v="12"/>
            <x v="107"/>
            <x v="113"/>
          </reference>
          <reference field="1" count="1" selected="0">
            <x v="4"/>
          </reference>
          <reference field="3" count="3" selected="0">
            <x v="116"/>
            <x v="232"/>
            <x v="234"/>
          </reference>
          <reference field="4" count="3" selected="0">
            <x v="58"/>
            <x v="61"/>
            <x v="139"/>
          </reference>
          <reference field="7" count="2" selected="0">
            <x v="1"/>
            <x v="2"/>
          </reference>
          <reference field="8" count="3" selected="0">
            <x v="1"/>
            <x v="3"/>
            <x v="7"/>
          </reference>
          <reference field="20" count="0" selected="0"/>
        </references>
      </pivotArea>
    </format>
    <format dxfId="635">
      <pivotArea dataOnly="0" labelOnly="1" outline="0" fieldPosition="0">
        <references count="2">
          <reference field="1" count="1" selected="0">
            <x v="4"/>
          </reference>
          <reference field="20" count="0"/>
        </references>
      </pivotArea>
    </format>
    <format dxfId="634">
      <pivotArea dataOnly="0" labelOnly="1" outline="0" fieldPosition="0">
        <references count="3">
          <reference field="1" count="1" selected="0">
            <x v="4"/>
          </reference>
          <reference field="7" count="1">
            <x v="1"/>
          </reference>
          <reference field="20" count="1" selected="0">
            <x v="1"/>
          </reference>
        </references>
      </pivotArea>
    </format>
    <format dxfId="633">
      <pivotArea dataOnly="0" labelOnly="1" outline="0" fieldPosition="0">
        <references count="3">
          <reference field="1" count="1" selected="0">
            <x v="4"/>
          </reference>
          <reference field="7" count="1">
            <x v="2"/>
          </reference>
          <reference field="20" count="1" selected="0">
            <x v="2"/>
          </reference>
        </references>
      </pivotArea>
    </format>
    <format dxfId="632">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631">
      <pivotArea dataOnly="0" labelOnly="1" outline="0" fieldPosition="0">
        <references count="4">
          <reference field="1" count="1" selected="0">
            <x v="4"/>
          </reference>
          <reference field="7" count="1" selected="0">
            <x v="2"/>
          </reference>
          <reference field="8" count="2">
            <x v="3"/>
            <x v="7"/>
          </reference>
          <reference field="20" count="1" selected="0">
            <x v="2"/>
          </reference>
        </references>
      </pivotArea>
    </format>
    <format dxfId="630">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629">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628">
      <pivotArea dataOnly="0" labelOnly="1" outline="0" fieldPosition="0">
        <references count="5">
          <reference field="0" count="1">
            <x v="107"/>
          </reference>
          <reference field="1" count="1" selected="0">
            <x v="4"/>
          </reference>
          <reference field="7" count="1" selected="0">
            <x v="2"/>
          </reference>
          <reference field="8" count="1" selected="0">
            <x v="7"/>
          </reference>
          <reference field="20" count="1" selected="0">
            <x v="2"/>
          </reference>
        </references>
      </pivotArea>
    </format>
    <format dxfId="627">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626">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625">
      <pivotArea dataOnly="0" labelOnly="1" outline="0" fieldPosition="0">
        <references count="6">
          <reference field="0" count="1" selected="0">
            <x v="107"/>
          </reference>
          <reference field="1" count="1" selected="0">
            <x v="4"/>
          </reference>
          <reference field="3" count="1">
            <x v="234"/>
          </reference>
          <reference field="7" count="1" selected="0">
            <x v="2"/>
          </reference>
          <reference field="8" count="1" selected="0">
            <x v="7"/>
          </reference>
          <reference field="20" count="1" selected="0">
            <x v="2"/>
          </reference>
        </references>
      </pivotArea>
    </format>
    <format dxfId="624">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623">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622">
      <pivotArea dataOnly="0" labelOnly="1" outline="0" fieldPosition="0">
        <references count="7">
          <reference field="0" count="1" selected="0">
            <x v="107"/>
          </reference>
          <reference field="1" count="1" selected="0">
            <x v="4"/>
          </reference>
          <reference field="3" count="1" selected="0">
            <x v="234"/>
          </reference>
          <reference field="4" count="1">
            <x v="139"/>
          </reference>
          <reference field="7" count="1" selected="0">
            <x v="2"/>
          </reference>
          <reference field="8" count="1" selected="0">
            <x v="7"/>
          </reference>
          <reference field="20" count="1" selected="0">
            <x v="2"/>
          </reference>
        </references>
      </pivotArea>
    </format>
    <format dxfId="621">
      <pivotArea outline="0" fieldPosition="0">
        <references count="7">
          <reference field="0" count="4" selected="0">
            <x v="67"/>
            <x v="68"/>
            <x v="101"/>
            <x v="104"/>
          </reference>
          <reference field="1" count="1" selected="0">
            <x v="5"/>
          </reference>
          <reference field="3" count="4" selected="0">
            <x v="3"/>
            <x v="66"/>
            <x v="115"/>
            <x v="230"/>
          </reference>
          <reference field="4" count="4" selected="0">
            <x v="8"/>
            <x v="20"/>
            <x v="57"/>
            <x v="135"/>
          </reference>
          <reference field="7" count="2" selected="0">
            <x v="2"/>
            <x v="3"/>
          </reference>
          <reference field="8" count="2" selected="0">
            <x v="7"/>
            <x v="8"/>
          </reference>
          <reference field="20" count="0" selected="0"/>
        </references>
      </pivotArea>
    </format>
    <format dxfId="620">
      <pivotArea dataOnly="0" labelOnly="1" outline="0" fieldPosition="0">
        <references count="2">
          <reference field="1" count="1" selected="0">
            <x v="5"/>
          </reference>
          <reference field="20" count="0"/>
        </references>
      </pivotArea>
    </format>
    <format dxfId="619">
      <pivotArea dataOnly="0" labelOnly="1" outline="0" fieldPosition="0">
        <references count="3">
          <reference field="1" count="1" selected="0">
            <x v="5"/>
          </reference>
          <reference field="7" count="2">
            <x v="2"/>
            <x v="3"/>
          </reference>
          <reference field="20" count="1" selected="0">
            <x v="1"/>
          </reference>
        </references>
      </pivotArea>
    </format>
    <format dxfId="618">
      <pivotArea dataOnly="0" labelOnly="1" outline="0" fieldPosition="0">
        <references count="3">
          <reference field="1" count="1" selected="0">
            <x v="5"/>
          </reference>
          <reference field="7" count="1">
            <x v="2"/>
          </reference>
          <reference field="20" count="1" selected="0">
            <x v="2"/>
          </reference>
        </references>
      </pivotArea>
    </format>
    <format dxfId="617">
      <pivotArea dataOnly="0" labelOnly="1" outline="0" fieldPosition="0">
        <references count="4">
          <reference field="1" count="1" selected="0">
            <x v="5"/>
          </reference>
          <reference field="7" count="1" selected="0">
            <x v="2"/>
          </reference>
          <reference field="8" count="1">
            <x v="7"/>
          </reference>
          <reference field="20" count="1" selected="0">
            <x v="1"/>
          </reference>
        </references>
      </pivotArea>
    </format>
    <format dxfId="616">
      <pivotArea dataOnly="0" labelOnly="1" outline="0" fieldPosition="0">
        <references count="4">
          <reference field="1" count="1" selected="0">
            <x v="5"/>
          </reference>
          <reference field="7" count="1" selected="0">
            <x v="3"/>
          </reference>
          <reference field="8" count="1">
            <x v="8"/>
          </reference>
          <reference field="20" count="1" selected="0">
            <x v="1"/>
          </reference>
        </references>
      </pivotArea>
    </format>
    <format dxfId="615">
      <pivotArea dataOnly="0" labelOnly="1" outline="0" fieldPosition="0">
        <references count="4">
          <reference field="1" count="1" selected="0">
            <x v="5"/>
          </reference>
          <reference field="7" count="1" selected="0">
            <x v="2"/>
          </reference>
          <reference field="8" count="1">
            <x v="7"/>
          </reference>
          <reference field="20" count="1" selected="0">
            <x v="2"/>
          </reference>
        </references>
      </pivotArea>
    </format>
    <format dxfId="614">
      <pivotArea dataOnly="0" labelOnly="1" outline="0" fieldPosition="0">
        <references count="5">
          <reference field="0" count="1">
            <x v="101"/>
          </reference>
          <reference field="1" count="1" selected="0">
            <x v="5"/>
          </reference>
          <reference field="7" count="1" selected="0">
            <x v="2"/>
          </reference>
          <reference field="8" count="1" selected="0">
            <x v="7"/>
          </reference>
          <reference field="20" count="1" selected="0">
            <x v="1"/>
          </reference>
        </references>
      </pivotArea>
    </format>
    <format dxfId="613">
      <pivotArea dataOnly="0" labelOnly="1" outline="0" fieldPosition="0">
        <references count="5">
          <reference field="0" count="1">
            <x v="104"/>
          </reference>
          <reference field="1" count="1" selected="0">
            <x v="5"/>
          </reference>
          <reference field="7" count="1" selected="0">
            <x v="3"/>
          </reference>
          <reference field="8" count="1" selected="0">
            <x v="8"/>
          </reference>
          <reference field="20" count="1" selected="0">
            <x v="1"/>
          </reference>
        </references>
      </pivotArea>
    </format>
    <format dxfId="612">
      <pivotArea dataOnly="0" labelOnly="1" outline="0" fieldPosition="0">
        <references count="5">
          <reference field="0" count="2">
            <x v="67"/>
            <x v="68"/>
          </reference>
          <reference field="1" count="1" selected="0">
            <x v="5"/>
          </reference>
          <reference field="7" count="1" selected="0">
            <x v="2"/>
          </reference>
          <reference field="8" count="1" selected="0">
            <x v="7"/>
          </reference>
          <reference field="20" count="1" selected="0">
            <x v="2"/>
          </reference>
        </references>
      </pivotArea>
    </format>
    <format dxfId="611">
      <pivotArea dataOnly="0" labelOnly="1" outline="0" fieldPosition="0">
        <references count="6">
          <reference field="0" count="1" selected="0">
            <x v="101"/>
          </reference>
          <reference field="1" count="1" selected="0">
            <x v="5"/>
          </reference>
          <reference field="3" count="1">
            <x v="66"/>
          </reference>
          <reference field="7" count="1" selected="0">
            <x v="2"/>
          </reference>
          <reference field="8" count="1" selected="0">
            <x v="7"/>
          </reference>
          <reference field="20" count="1" selected="0">
            <x v="1"/>
          </reference>
        </references>
      </pivotArea>
    </format>
    <format dxfId="610">
      <pivotArea dataOnly="0" labelOnly="1" outline="0" fieldPosition="0">
        <references count="6">
          <reference field="0" count="1" selected="0">
            <x v="104"/>
          </reference>
          <reference field="1" count="1" selected="0">
            <x v="5"/>
          </reference>
          <reference field="3" count="1">
            <x v="115"/>
          </reference>
          <reference field="7" count="1" selected="0">
            <x v="3"/>
          </reference>
          <reference field="8" count="1" selected="0">
            <x v="8"/>
          </reference>
          <reference field="20" count="1" selected="0">
            <x v="1"/>
          </reference>
        </references>
      </pivotArea>
    </format>
    <format dxfId="609">
      <pivotArea dataOnly="0" labelOnly="1" outline="0" fieldPosition="0">
        <references count="6">
          <reference field="0" count="1" selected="0">
            <x v="67"/>
          </reference>
          <reference field="1" count="1" selected="0">
            <x v="5"/>
          </reference>
          <reference field="3" count="1">
            <x v="3"/>
          </reference>
          <reference field="7" count="1" selected="0">
            <x v="2"/>
          </reference>
          <reference field="8" count="1" selected="0">
            <x v="7"/>
          </reference>
          <reference field="20" count="1" selected="0">
            <x v="2"/>
          </reference>
        </references>
      </pivotArea>
    </format>
    <format dxfId="608">
      <pivotArea dataOnly="0" labelOnly="1" outline="0" fieldPosition="0">
        <references count="6">
          <reference field="0" count="1" selected="0">
            <x v="68"/>
          </reference>
          <reference field="1" count="1" selected="0">
            <x v="5"/>
          </reference>
          <reference field="3" count="1">
            <x v="230"/>
          </reference>
          <reference field="7" count="1" selected="0">
            <x v="2"/>
          </reference>
          <reference field="8" count="1" selected="0">
            <x v="7"/>
          </reference>
          <reference field="20" count="1" selected="0">
            <x v="2"/>
          </reference>
        </references>
      </pivotArea>
    </format>
    <format dxfId="607">
      <pivotArea dataOnly="0" labelOnly="1" outline="0" fieldPosition="0">
        <references count="7">
          <reference field="0" count="1" selected="0">
            <x v="101"/>
          </reference>
          <reference field="1" count="1" selected="0">
            <x v="5"/>
          </reference>
          <reference field="3" count="1" selected="0">
            <x v="66"/>
          </reference>
          <reference field="4" count="1">
            <x v="20"/>
          </reference>
          <reference field="7" count="1" selected="0">
            <x v="2"/>
          </reference>
          <reference field="8" count="1" selected="0">
            <x v="7"/>
          </reference>
          <reference field="20" count="1" selected="0">
            <x v="1"/>
          </reference>
        </references>
      </pivotArea>
    </format>
    <format dxfId="606">
      <pivotArea dataOnly="0" labelOnly="1" outline="0" fieldPosition="0">
        <references count="7">
          <reference field="0" count="1" selected="0">
            <x v="104"/>
          </reference>
          <reference field="1" count="1" selected="0">
            <x v="5"/>
          </reference>
          <reference field="3" count="1" selected="0">
            <x v="115"/>
          </reference>
          <reference field="4" count="1">
            <x v="57"/>
          </reference>
          <reference field="7" count="1" selected="0">
            <x v="3"/>
          </reference>
          <reference field="8" count="1" selected="0">
            <x v="8"/>
          </reference>
          <reference field="20" count="1" selected="0">
            <x v="1"/>
          </reference>
        </references>
      </pivotArea>
    </format>
    <format dxfId="605">
      <pivotArea dataOnly="0" labelOnly="1" outline="0" fieldPosition="0">
        <references count="7">
          <reference field="0" count="1" selected="0">
            <x v="67"/>
          </reference>
          <reference field="1" count="1" selected="0">
            <x v="5"/>
          </reference>
          <reference field="3" count="1" selected="0">
            <x v="3"/>
          </reference>
          <reference field="4" count="1">
            <x v="8"/>
          </reference>
          <reference field="7" count="1" selected="0">
            <x v="2"/>
          </reference>
          <reference field="8" count="1" selected="0">
            <x v="7"/>
          </reference>
          <reference field="20" count="1" selected="0">
            <x v="2"/>
          </reference>
        </references>
      </pivotArea>
    </format>
    <format dxfId="604">
      <pivotArea dataOnly="0" labelOnly="1" outline="0" fieldPosition="0">
        <references count="7">
          <reference field="0" count="1" selected="0">
            <x v="68"/>
          </reference>
          <reference field="1" count="1" selected="0">
            <x v="5"/>
          </reference>
          <reference field="3" count="1" selected="0">
            <x v="230"/>
          </reference>
          <reference field="4" count="1">
            <x v="135"/>
          </reference>
          <reference field="7" count="1" selected="0">
            <x v="2"/>
          </reference>
          <reference field="8" count="1" selected="0">
            <x v="7"/>
          </reference>
          <reference field="20" count="1" selected="0">
            <x v="2"/>
          </reference>
        </references>
      </pivotArea>
    </format>
    <format dxfId="603">
      <pivotArea outline="0" fieldPosition="0">
        <references count="7">
          <reference field="0" count="5" selected="0">
            <x v="163"/>
            <x v="167"/>
            <x v="178"/>
            <x v="181"/>
            <x v="194"/>
          </reference>
          <reference field="1" count="1" selected="0">
            <x v="6"/>
          </reference>
          <reference field="3" count="5" selected="0">
            <x v="175"/>
            <x v="190"/>
            <x v="193"/>
            <x v="247"/>
            <x v="253"/>
          </reference>
          <reference field="4" count="4" selected="0">
            <x v="3"/>
            <x v="96"/>
            <x v="112"/>
            <x v="170"/>
          </reference>
          <reference field="7" count="3" selected="0">
            <x v="0"/>
            <x v="2"/>
            <x v="4"/>
          </reference>
          <reference field="8" count="2" selected="0">
            <x v="0"/>
            <x v="8"/>
          </reference>
          <reference field="20" count="0" selected="0"/>
        </references>
      </pivotArea>
    </format>
    <format dxfId="602">
      <pivotArea dataOnly="0" labelOnly="1" outline="0" fieldPosition="0">
        <references count="2">
          <reference field="1" count="1" selected="0">
            <x v="6"/>
          </reference>
          <reference field="20" count="0"/>
        </references>
      </pivotArea>
    </format>
    <format dxfId="601">
      <pivotArea dataOnly="0" labelOnly="1" outline="0" fieldPosition="0">
        <references count="3">
          <reference field="1" count="1" selected="0">
            <x v="6"/>
          </reference>
          <reference field="7" count="1">
            <x v="0"/>
          </reference>
          <reference field="20" count="1" selected="0">
            <x v="1"/>
          </reference>
        </references>
      </pivotArea>
    </format>
    <format dxfId="600">
      <pivotArea dataOnly="0" labelOnly="1" outline="0" fieldPosition="0">
        <references count="3">
          <reference field="1" count="1" selected="0">
            <x v="6"/>
          </reference>
          <reference field="7" count="2">
            <x v="2"/>
            <x v="4"/>
          </reference>
          <reference field="20" count="1" selected="0">
            <x v="2"/>
          </reference>
        </references>
      </pivotArea>
    </format>
    <format dxfId="599">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598">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597">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596">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595">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594">
      <pivotArea dataOnly="0" labelOnly="1" outline="0" fieldPosition="0">
        <references count="5">
          <reference field="0" count="3">
            <x v="178"/>
            <x v="181"/>
            <x v="194"/>
          </reference>
          <reference field="1" count="1" selected="0">
            <x v="6"/>
          </reference>
          <reference field="7" count="1" selected="0">
            <x v="4"/>
          </reference>
          <reference field="8" count="1" selected="0">
            <x v="0"/>
          </reference>
          <reference field="20" count="1" selected="0">
            <x v="2"/>
          </reference>
        </references>
      </pivotArea>
    </format>
    <format dxfId="593">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592">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591">
      <pivotArea dataOnly="0" labelOnly="1" outline="0" fieldPosition="0">
        <references count="6">
          <reference field="0" count="1" selected="0">
            <x v="178"/>
          </reference>
          <reference field="1" count="1" selected="0">
            <x v="6"/>
          </reference>
          <reference field="3" count="1">
            <x v="190"/>
          </reference>
          <reference field="7" count="1" selected="0">
            <x v="4"/>
          </reference>
          <reference field="8" count="1" selected="0">
            <x v="0"/>
          </reference>
          <reference field="20" count="1" selected="0">
            <x v="2"/>
          </reference>
        </references>
      </pivotArea>
    </format>
    <format dxfId="590">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589">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588">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587">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586">
      <pivotArea dataOnly="0" labelOnly="1" outline="0" fieldPosition="0">
        <references count="7">
          <reference field="0" count="1" selected="0">
            <x v="178"/>
          </reference>
          <reference field="1" count="1" selected="0">
            <x v="6"/>
          </reference>
          <reference field="3" count="1" selected="0">
            <x v="190"/>
          </reference>
          <reference field="4" count="1">
            <x v="3"/>
          </reference>
          <reference field="7" count="1" selected="0">
            <x v="4"/>
          </reference>
          <reference field="8" count="1" selected="0">
            <x v="0"/>
          </reference>
          <reference field="20" count="1" selected="0">
            <x v="2"/>
          </reference>
        </references>
      </pivotArea>
    </format>
    <format dxfId="585">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584">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583">
      <pivotArea dataOnly="0" labelOnly="1" outline="0" offset="IV1" fieldPosition="0">
        <references count="4">
          <reference field="1" count="1" selected="0">
            <x v="1"/>
          </reference>
          <reference field="7" count="1" selected="0">
            <x v="4"/>
          </reference>
          <reference field="8" count="1">
            <x v="8"/>
          </reference>
          <reference field="20" count="1" selected="0">
            <x v="2"/>
          </reference>
        </references>
      </pivotArea>
    </format>
    <format dxfId="582">
      <pivotArea dataOnly="0" labelOnly="1" outline="0" offset="IV256" fieldPosition="0">
        <references count="4">
          <reference field="1" count="1" selected="0">
            <x v="1"/>
          </reference>
          <reference field="7" count="1" selected="0">
            <x v="4"/>
          </reference>
          <reference field="8" count="1">
            <x v="8"/>
          </reference>
          <reference field="20" count="1" selected="0">
            <x v="2"/>
          </reference>
        </references>
      </pivotArea>
    </format>
    <format dxfId="581">
      <pivotArea outline="0" collapsedLevelsAreSubtotals="1" fieldPosition="0"/>
    </format>
    <format dxfId="580">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579">
      <pivotArea dataOnly="0" labelOnly="1" outline="0" fieldPosition="0">
        <references count="1">
          <reference field="6" count="0"/>
        </references>
      </pivotArea>
    </format>
    <format dxfId="578">
      <pivotArea type="all" dataOnly="0" outline="0" fieldPosition="0"/>
    </format>
    <format dxfId="577">
      <pivotArea outline="0" collapsedLevelsAreSubtotals="1" fieldPosition="0"/>
    </format>
    <format dxfId="576">
      <pivotArea type="origin" dataOnly="0" labelOnly="1" outline="0" fieldPosition="0"/>
    </format>
    <format dxfId="575">
      <pivotArea type="topRight" dataOnly="0" labelOnly="1" outline="0" fieldPosition="0"/>
    </format>
    <format dxfId="574">
      <pivotArea field="1" type="button" dataOnly="0" labelOnly="1" outline="0" axis="axisRow" fieldPosition="0"/>
    </format>
    <format dxfId="573">
      <pivotArea field="20" type="button" dataOnly="0" labelOnly="1" outline="0" axis="axisRow" fieldPosition="1"/>
    </format>
    <format dxfId="572">
      <pivotArea field="7" type="button" dataOnly="0" labelOnly="1" outline="0" axis="axisRow" fieldPosition="2"/>
    </format>
    <format dxfId="571">
      <pivotArea field="8" type="button" dataOnly="0" labelOnly="1" outline="0" axis="axisRow" fieldPosition="3"/>
    </format>
    <format dxfId="570">
      <pivotArea field="0" type="button" dataOnly="0" labelOnly="1" outline="0" axis="axisRow" fieldPosition="4"/>
    </format>
    <format dxfId="569">
      <pivotArea field="3" type="button" dataOnly="0" labelOnly="1" outline="0" axis="axisRow" fieldPosition="5"/>
    </format>
    <format dxfId="568">
      <pivotArea field="4" type="button" dataOnly="0" labelOnly="1" outline="0" axis="axisRow" fieldPosition="6"/>
    </format>
    <format dxfId="567">
      <pivotArea dataOnly="0" labelOnly="1" outline="0" fieldPosition="0">
        <references count="1">
          <reference field="1" count="4">
            <x v="0"/>
            <x v="1"/>
            <x v="4"/>
            <x v="6"/>
          </reference>
        </references>
      </pivotArea>
    </format>
    <format dxfId="566">
      <pivotArea dataOnly="0" labelOnly="1" outline="0" fieldPosition="0">
        <references count="1">
          <reference field="1" count="4" defaultSubtotal="1">
            <x v="0"/>
            <x v="1"/>
            <x v="4"/>
            <x v="6"/>
          </reference>
        </references>
      </pivotArea>
    </format>
    <format dxfId="565">
      <pivotArea dataOnly="0" labelOnly="1" grandRow="1" outline="0" fieldPosition="0"/>
    </format>
    <format dxfId="564">
      <pivotArea dataOnly="0" labelOnly="1" outline="0" fieldPosition="0">
        <references count="2">
          <reference field="1" count="1" selected="0">
            <x v="0"/>
          </reference>
          <reference field="20" count="1">
            <x v="2"/>
          </reference>
        </references>
      </pivotArea>
    </format>
    <format dxfId="563">
      <pivotArea dataOnly="0" labelOnly="1" outline="0" fieldPosition="0">
        <references count="2">
          <reference field="1" count="1" selected="0">
            <x v="1"/>
          </reference>
          <reference field="20" count="0"/>
        </references>
      </pivotArea>
    </format>
    <format dxfId="562">
      <pivotArea dataOnly="0" labelOnly="1" outline="0" fieldPosition="0">
        <references count="2">
          <reference field="1" count="1" selected="0">
            <x v="4"/>
          </reference>
          <reference field="20" count="0"/>
        </references>
      </pivotArea>
    </format>
    <format dxfId="561">
      <pivotArea dataOnly="0" labelOnly="1" outline="0" fieldPosition="0">
        <references count="2">
          <reference field="1" count="1" selected="0">
            <x v="6"/>
          </reference>
          <reference field="20" count="0"/>
        </references>
      </pivotArea>
    </format>
    <format dxfId="560">
      <pivotArea dataOnly="0" labelOnly="1" outline="0" fieldPosition="0">
        <references count="3">
          <reference field="1" count="1" selected="0">
            <x v="0"/>
          </reference>
          <reference field="7" count="1">
            <x v="5"/>
          </reference>
          <reference field="20" count="1" selected="0">
            <x v="2"/>
          </reference>
        </references>
      </pivotArea>
    </format>
    <format dxfId="559">
      <pivotArea dataOnly="0" labelOnly="1" outline="0" fieldPosition="0">
        <references count="3">
          <reference field="1" count="1" selected="0">
            <x v="1"/>
          </reference>
          <reference field="7" count="4">
            <x v="0"/>
            <x v="2"/>
            <x v="4"/>
            <x v="8"/>
          </reference>
          <reference field="20" count="1" selected="0">
            <x v="1"/>
          </reference>
        </references>
      </pivotArea>
    </format>
    <format dxfId="558">
      <pivotArea dataOnly="0" labelOnly="1" outline="0" fieldPosition="0">
        <references count="3">
          <reference field="1" count="1" selected="0">
            <x v="1"/>
          </reference>
          <reference field="7" count="3">
            <x v="0"/>
            <x v="2"/>
            <x v="4"/>
          </reference>
          <reference field="20" count="1" selected="0">
            <x v="2"/>
          </reference>
        </references>
      </pivotArea>
    </format>
    <format dxfId="557">
      <pivotArea dataOnly="0" labelOnly="1" outline="0" fieldPosition="0">
        <references count="3">
          <reference field="1" count="1" selected="0">
            <x v="4"/>
          </reference>
          <reference field="7" count="1">
            <x v="1"/>
          </reference>
          <reference field="20" count="1" selected="0">
            <x v="1"/>
          </reference>
        </references>
      </pivotArea>
    </format>
    <format dxfId="556">
      <pivotArea dataOnly="0" labelOnly="1" outline="0" fieldPosition="0">
        <references count="3">
          <reference field="1" count="1" selected="0">
            <x v="4"/>
          </reference>
          <reference field="7" count="1">
            <x v="2"/>
          </reference>
          <reference field="20" count="1" selected="0">
            <x v="2"/>
          </reference>
        </references>
      </pivotArea>
    </format>
    <format dxfId="555">
      <pivotArea dataOnly="0" labelOnly="1" outline="0" fieldPosition="0">
        <references count="3">
          <reference field="1" count="1" selected="0">
            <x v="6"/>
          </reference>
          <reference field="7" count="1">
            <x v="0"/>
          </reference>
          <reference field="20" count="1" selected="0">
            <x v="1"/>
          </reference>
        </references>
      </pivotArea>
    </format>
    <format dxfId="554">
      <pivotArea dataOnly="0" labelOnly="1" outline="0" fieldPosition="0">
        <references count="3">
          <reference field="1" count="1" selected="0">
            <x v="6"/>
          </reference>
          <reference field="7" count="2">
            <x v="2"/>
            <x v="4"/>
          </reference>
          <reference field="20" count="1" selected="0">
            <x v="2"/>
          </reference>
        </references>
      </pivotArea>
    </format>
    <format dxfId="553">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552">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551">
      <pivotArea dataOnly="0" labelOnly="1" outline="0" fieldPosition="0">
        <references count="4">
          <reference field="1" count="1" selected="0">
            <x v="1"/>
          </reference>
          <reference field="7" count="1" selected="0">
            <x v="2"/>
          </reference>
          <reference field="8" count="1">
            <x v="7"/>
          </reference>
          <reference field="20" count="1" selected="0">
            <x v="1"/>
          </reference>
        </references>
      </pivotArea>
    </format>
    <format dxfId="550">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549">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548">
      <pivotArea dataOnly="0" labelOnly="1" outline="0" fieldPosition="0">
        <references count="4">
          <reference field="1" count="1" selected="0">
            <x v="1"/>
          </reference>
          <reference field="7" count="1" selected="0">
            <x v="2"/>
          </reference>
          <reference field="8" count="1">
            <x v="7"/>
          </reference>
          <reference field="20" count="1" selected="0">
            <x v="2"/>
          </reference>
        </references>
      </pivotArea>
    </format>
    <format dxfId="547">
      <pivotArea dataOnly="0" labelOnly="1" outline="0" fieldPosition="0">
        <references count="4">
          <reference field="1" count="1" selected="0">
            <x v="1"/>
          </reference>
          <reference field="7" count="1" selected="0">
            <x v="4"/>
          </reference>
          <reference field="8" count="1">
            <x v="8"/>
          </reference>
          <reference field="20" count="1" selected="0">
            <x v="2"/>
          </reference>
        </references>
      </pivotArea>
    </format>
    <format dxfId="546">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545">
      <pivotArea dataOnly="0" labelOnly="1" outline="0" fieldPosition="0">
        <references count="4">
          <reference field="1" count="1" selected="0">
            <x v="4"/>
          </reference>
          <reference field="7" count="1" selected="0">
            <x v="2"/>
          </reference>
          <reference field="8" count="1">
            <x v="3"/>
          </reference>
          <reference field="20" count="1" selected="0">
            <x v="2"/>
          </reference>
        </references>
      </pivotArea>
    </format>
    <format dxfId="544">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543">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542">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541">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540">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539">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538">
      <pivotArea dataOnly="0" labelOnly="1" outline="0" fieldPosition="0">
        <references count="5">
          <reference field="0" count="1">
            <x v="138"/>
          </reference>
          <reference field="1" count="1" selected="0">
            <x v="1"/>
          </reference>
          <reference field="7" count="1" selected="0">
            <x v="2"/>
          </reference>
          <reference field="8" count="1" selected="0">
            <x v="7"/>
          </reference>
          <reference field="20" count="1" selected="0">
            <x v="1"/>
          </reference>
        </references>
      </pivotArea>
    </format>
    <format dxfId="537">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536">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535">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534">
      <pivotArea dataOnly="0" labelOnly="1" outline="0" fieldPosition="0">
        <references count="5">
          <reference field="0" count="1">
            <x v="51"/>
          </reference>
          <reference field="1" count="1" selected="0">
            <x v="1"/>
          </reference>
          <reference field="7" count="1" selected="0">
            <x v="2"/>
          </reference>
          <reference field="8" count="1" selected="0">
            <x v="7"/>
          </reference>
          <reference field="20" count="1" selected="0">
            <x v="2"/>
          </reference>
        </references>
      </pivotArea>
    </format>
    <format dxfId="533">
      <pivotArea dataOnly="0" labelOnly="1" outline="0" fieldPosition="0">
        <references count="5">
          <reference field="0" count="1">
            <x v="153"/>
          </reference>
          <reference field="1" count="1" selected="0">
            <x v="1"/>
          </reference>
          <reference field="7" count="1" selected="0">
            <x v="4"/>
          </reference>
          <reference field="8" count="1" selected="0">
            <x v="8"/>
          </reference>
          <reference field="20" count="1" selected="0">
            <x v="2"/>
          </reference>
        </references>
      </pivotArea>
    </format>
    <format dxfId="532">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531">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530">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529">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528">
      <pivotArea dataOnly="0" labelOnly="1" outline="0" fieldPosition="0">
        <references count="5">
          <reference field="0" count="2">
            <x v="181"/>
            <x v="194"/>
          </reference>
          <reference field="1" count="1" selected="0">
            <x v="6"/>
          </reference>
          <reference field="7" count="1" selected="0">
            <x v="4"/>
          </reference>
          <reference field="8" count="1" selected="0">
            <x v="0"/>
          </reference>
          <reference field="20" count="1" selected="0">
            <x v="2"/>
          </reference>
        </references>
      </pivotArea>
    </format>
    <format dxfId="527">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526">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525">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524">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1"/>
          </reference>
        </references>
      </pivotArea>
    </format>
    <format dxfId="523">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522">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521">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520">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519">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518">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517">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516">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515">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514">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513">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512">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511">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510">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509">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1"/>
          </reference>
        </references>
      </pivotArea>
    </format>
    <format dxfId="508">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507">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506">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505">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504">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503">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502">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501">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500">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499">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498">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497">
      <pivotArea type="topRight" dataOnly="0" labelOnly="1" outline="0" fieldPosition="0"/>
    </format>
    <format dxfId="496">
      <pivotArea type="all" dataOnly="0" outline="0" fieldPosition="0"/>
    </format>
    <format dxfId="495">
      <pivotArea outline="0" collapsedLevelsAreSubtotals="1" fieldPosition="0"/>
    </format>
    <format dxfId="494">
      <pivotArea type="origin" dataOnly="0" labelOnly="1" outline="0" fieldPosition="0"/>
    </format>
    <format dxfId="493">
      <pivotArea type="topRight" dataOnly="0" labelOnly="1" outline="0" fieldPosition="0"/>
    </format>
    <format dxfId="492">
      <pivotArea field="1" type="button" dataOnly="0" labelOnly="1" outline="0" axis="axisRow" fieldPosition="0"/>
    </format>
    <format dxfId="491">
      <pivotArea field="20" type="button" dataOnly="0" labelOnly="1" outline="0" axis="axisRow" fieldPosition="1"/>
    </format>
    <format dxfId="490">
      <pivotArea field="7" type="button" dataOnly="0" labelOnly="1" outline="0" axis="axisRow" fieldPosition="2"/>
    </format>
    <format dxfId="489">
      <pivotArea field="8" type="button" dataOnly="0" labelOnly="1" outline="0" axis="axisRow" fieldPosition="3"/>
    </format>
    <format dxfId="488">
      <pivotArea field="0" type="button" dataOnly="0" labelOnly="1" outline="0" axis="axisRow" fieldPosition="4"/>
    </format>
    <format dxfId="487">
      <pivotArea field="3" type="button" dataOnly="0" labelOnly="1" outline="0" axis="axisRow" fieldPosition="5"/>
    </format>
    <format dxfId="486">
      <pivotArea field="4" type="button" dataOnly="0" labelOnly="1" outline="0" axis="axisRow" fieldPosition="6"/>
    </format>
    <format dxfId="485">
      <pivotArea dataOnly="0" labelOnly="1" outline="0" fieldPosition="0">
        <references count="1">
          <reference field="1" count="4">
            <x v="0"/>
            <x v="1"/>
            <x v="4"/>
            <x v="6"/>
          </reference>
        </references>
      </pivotArea>
    </format>
    <format dxfId="484">
      <pivotArea dataOnly="0" labelOnly="1" outline="0" fieldPosition="0">
        <references count="1">
          <reference field="1" count="4" defaultSubtotal="1">
            <x v="0"/>
            <x v="1"/>
            <x v="4"/>
            <x v="6"/>
          </reference>
        </references>
      </pivotArea>
    </format>
    <format dxfId="483">
      <pivotArea dataOnly="0" labelOnly="1" grandRow="1" outline="0" fieldPosition="0"/>
    </format>
    <format dxfId="482">
      <pivotArea dataOnly="0" labelOnly="1" outline="0" fieldPosition="0">
        <references count="2">
          <reference field="1" count="1" selected="0">
            <x v="0"/>
          </reference>
          <reference field="20" count="1">
            <x v="2"/>
          </reference>
        </references>
      </pivotArea>
    </format>
    <format dxfId="481">
      <pivotArea dataOnly="0" labelOnly="1" outline="0" fieldPosition="0">
        <references count="2">
          <reference field="1" count="1" selected="0">
            <x v="1"/>
          </reference>
          <reference field="20" count="0"/>
        </references>
      </pivotArea>
    </format>
    <format dxfId="480">
      <pivotArea dataOnly="0" labelOnly="1" outline="0" fieldPosition="0">
        <references count="2">
          <reference field="1" count="1" selected="0">
            <x v="4"/>
          </reference>
          <reference field="20" count="0"/>
        </references>
      </pivotArea>
    </format>
    <format dxfId="479">
      <pivotArea dataOnly="0" labelOnly="1" outline="0" fieldPosition="0">
        <references count="2">
          <reference field="1" count="1" selected="0">
            <x v="6"/>
          </reference>
          <reference field="20" count="0"/>
        </references>
      </pivotArea>
    </format>
    <format dxfId="478">
      <pivotArea dataOnly="0" labelOnly="1" outline="0" fieldPosition="0">
        <references count="3">
          <reference field="1" count="1" selected="0">
            <x v="0"/>
          </reference>
          <reference field="7" count="2">
            <x v="2"/>
            <x v="5"/>
          </reference>
          <reference field="20" count="1" selected="0">
            <x v="2"/>
          </reference>
        </references>
      </pivotArea>
    </format>
    <format dxfId="477">
      <pivotArea dataOnly="0" labelOnly="1" outline="0" fieldPosition="0">
        <references count="3">
          <reference field="1" count="1" selected="0">
            <x v="1"/>
          </reference>
          <reference field="7" count="4">
            <x v="0"/>
            <x v="2"/>
            <x v="4"/>
            <x v="8"/>
          </reference>
          <reference field="20" count="1" selected="0">
            <x v="1"/>
          </reference>
        </references>
      </pivotArea>
    </format>
    <format dxfId="476">
      <pivotArea dataOnly="0" labelOnly="1" outline="0" fieldPosition="0">
        <references count="3">
          <reference field="1" count="1" selected="0">
            <x v="1"/>
          </reference>
          <reference field="7" count="3">
            <x v="0"/>
            <x v="2"/>
            <x v="4"/>
          </reference>
          <reference field="20" count="1" selected="0">
            <x v="2"/>
          </reference>
        </references>
      </pivotArea>
    </format>
    <format dxfId="475">
      <pivotArea dataOnly="0" labelOnly="1" outline="0" fieldPosition="0">
        <references count="3">
          <reference field="1" count="1" selected="0">
            <x v="4"/>
          </reference>
          <reference field="7" count="1">
            <x v="1"/>
          </reference>
          <reference field="20" count="1" selected="0">
            <x v="1"/>
          </reference>
        </references>
      </pivotArea>
    </format>
    <format dxfId="474">
      <pivotArea dataOnly="0" labelOnly="1" outline="0" fieldPosition="0">
        <references count="3">
          <reference field="1" count="1" selected="0">
            <x v="4"/>
          </reference>
          <reference field="7" count="1">
            <x v="2"/>
          </reference>
          <reference field="20" count="1" selected="0">
            <x v="2"/>
          </reference>
        </references>
      </pivotArea>
    </format>
    <format dxfId="473">
      <pivotArea dataOnly="0" labelOnly="1" outline="0" fieldPosition="0">
        <references count="3">
          <reference field="1" count="1" selected="0">
            <x v="6"/>
          </reference>
          <reference field="7" count="1">
            <x v="0"/>
          </reference>
          <reference field="20" count="1" selected="0">
            <x v="1"/>
          </reference>
        </references>
      </pivotArea>
    </format>
    <format dxfId="472">
      <pivotArea dataOnly="0" labelOnly="1" outline="0" fieldPosition="0">
        <references count="3">
          <reference field="1" count="1" selected="0">
            <x v="6"/>
          </reference>
          <reference field="7" count="2">
            <x v="2"/>
            <x v="4"/>
          </reference>
          <reference field="20" count="1" selected="0">
            <x v="2"/>
          </reference>
        </references>
      </pivotArea>
    </format>
    <format dxfId="471">
      <pivotArea dataOnly="0" labelOnly="1" outline="0" fieldPosition="0">
        <references count="4">
          <reference field="1" count="1" selected="0">
            <x v="0"/>
          </reference>
          <reference field="7" count="1" selected="0">
            <x v="2"/>
          </reference>
          <reference field="8" count="1">
            <x v="7"/>
          </reference>
          <reference field="20" count="1" selected="0">
            <x v="2"/>
          </reference>
        </references>
      </pivotArea>
    </format>
    <format dxfId="470">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469">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468">
      <pivotArea dataOnly="0" labelOnly="1" outline="0" fieldPosition="0">
        <references count="4">
          <reference field="1" count="1" selected="0">
            <x v="1"/>
          </reference>
          <reference field="7" count="1" selected="0">
            <x v="2"/>
          </reference>
          <reference field="8" count="1">
            <x v="7"/>
          </reference>
          <reference field="20" count="1" selected="0">
            <x v="1"/>
          </reference>
        </references>
      </pivotArea>
    </format>
    <format dxfId="467">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466">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465">
      <pivotArea dataOnly="0" labelOnly="1" outline="0" fieldPosition="0">
        <references count="4">
          <reference field="1" count="1" selected="0">
            <x v="1"/>
          </reference>
          <reference field="7" count="1" selected="0">
            <x v="2"/>
          </reference>
          <reference field="8" count="1">
            <x v="7"/>
          </reference>
          <reference field="20" count="1" selected="0">
            <x v="2"/>
          </reference>
        </references>
      </pivotArea>
    </format>
    <format dxfId="464">
      <pivotArea dataOnly="0" labelOnly="1" outline="0" fieldPosition="0">
        <references count="4">
          <reference field="1" count="1" selected="0">
            <x v="1"/>
          </reference>
          <reference field="7" count="1" selected="0">
            <x v="4"/>
          </reference>
          <reference field="8" count="1">
            <x v="8"/>
          </reference>
          <reference field="20" count="1" selected="0">
            <x v="2"/>
          </reference>
        </references>
      </pivotArea>
    </format>
    <format dxfId="463">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462">
      <pivotArea dataOnly="0" labelOnly="1" outline="0" fieldPosition="0">
        <references count="4">
          <reference field="1" count="1" selected="0">
            <x v="4"/>
          </reference>
          <reference field="7" count="1" selected="0">
            <x v="2"/>
          </reference>
          <reference field="8" count="1">
            <x v="3"/>
          </reference>
          <reference field="20" count="1" selected="0">
            <x v="2"/>
          </reference>
        </references>
      </pivotArea>
    </format>
    <format dxfId="461">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460">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459">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458">
      <pivotArea dataOnly="0" labelOnly="1" outline="0" fieldPosition="0">
        <references count="5">
          <reference field="0" count="1">
            <x v="119"/>
          </reference>
          <reference field="1" count="1" selected="0">
            <x v="0"/>
          </reference>
          <reference field="7" count="1" selected="0">
            <x v="2"/>
          </reference>
          <reference field="8" count="1" selected="0">
            <x v="7"/>
          </reference>
          <reference field="20" count="1" selected="0">
            <x v="2"/>
          </reference>
        </references>
      </pivotArea>
    </format>
    <format dxfId="457">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456">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455">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454">
      <pivotArea dataOnly="0" labelOnly="1" outline="0" fieldPosition="0">
        <references count="5">
          <reference field="0" count="1">
            <x v="138"/>
          </reference>
          <reference field="1" count="1" selected="0">
            <x v="1"/>
          </reference>
          <reference field="7" count="1" selected="0">
            <x v="2"/>
          </reference>
          <reference field="8" count="1" selected="0">
            <x v="7"/>
          </reference>
          <reference field="20" count="1" selected="0">
            <x v="1"/>
          </reference>
        </references>
      </pivotArea>
    </format>
    <format dxfId="453">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452">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451">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450">
      <pivotArea dataOnly="0" labelOnly="1" outline="0" fieldPosition="0">
        <references count="5">
          <reference field="0" count="1">
            <x v="51"/>
          </reference>
          <reference field="1" count="1" selected="0">
            <x v="1"/>
          </reference>
          <reference field="7" count="1" selected="0">
            <x v="2"/>
          </reference>
          <reference field="8" count="1" selected="0">
            <x v="7"/>
          </reference>
          <reference field="20" count="1" selected="0">
            <x v="2"/>
          </reference>
        </references>
      </pivotArea>
    </format>
    <format dxfId="449">
      <pivotArea dataOnly="0" labelOnly="1" outline="0" fieldPosition="0">
        <references count="5">
          <reference field="0" count="1">
            <x v="153"/>
          </reference>
          <reference field="1" count="1" selected="0">
            <x v="1"/>
          </reference>
          <reference field="7" count="1" selected="0">
            <x v="4"/>
          </reference>
          <reference field="8" count="1" selected="0">
            <x v="8"/>
          </reference>
          <reference field="20" count="1" selected="0">
            <x v="2"/>
          </reference>
        </references>
      </pivotArea>
    </format>
    <format dxfId="448">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447">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446">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445">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444">
      <pivotArea dataOnly="0" labelOnly="1" outline="0" fieldPosition="0">
        <references count="5">
          <reference field="0" count="2">
            <x v="181"/>
            <x v="194"/>
          </reference>
          <reference field="1" count="1" selected="0">
            <x v="6"/>
          </reference>
          <reference field="7" count="1" selected="0">
            <x v="4"/>
          </reference>
          <reference field="8" count="1" selected="0">
            <x v="0"/>
          </reference>
          <reference field="20" count="1" selected="0">
            <x v="2"/>
          </reference>
        </references>
      </pivotArea>
    </format>
    <format dxfId="443">
      <pivotArea dataOnly="0" labelOnly="1" outline="0" fieldPosition="0">
        <references count="6">
          <reference field="0" count="1" selected="0">
            <x v="119"/>
          </reference>
          <reference field="1" count="1" selected="0">
            <x v="0"/>
          </reference>
          <reference field="3" count="1">
            <x v="239"/>
          </reference>
          <reference field="7" count="1" selected="0">
            <x v="2"/>
          </reference>
          <reference field="8" count="1" selected="0">
            <x v="7"/>
          </reference>
          <reference field="20" count="1" selected="0">
            <x v="2"/>
          </reference>
        </references>
      </pivotArea>
    </format>
    <format dxfId="442">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441">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440">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439">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1"/>
          </reference>
        </references>
      </pivotArea>
    </format>
    <format dxfId="438">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437">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436">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435">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434">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433">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432">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431">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430">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429">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428">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427">
      <pivotArea dataOnly="0" labelOnly="1" outline="0" fieldPosition="0">
        <references count="7">
          <reference field="0" count="1" selected="0">
            <x v="119"/>
          </reference>
          <reference field="1" count="1" selected="0">
            <x v="0"/>
          </reference>
          <reference field="3" count="1" selected="0">
            <x v="239"/>
          </reference>
          <reference field="4" count="1">
            <x v="4"/>
          </reference>
          <reference field="7" count="1" selected="0">
            <x v="2"/>
          </reference>
          <reference field="8" count="1" selected="0">
            <x v="7"/>
          </reference>
          <reference field="20" count="1" selected="0">
            <x v="2"/>
          </reference>
        </references>
      </pivotArea>
    </format>
    <format dxfId="426">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425">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424">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423">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1"/>
          </reference>
        </references>
      </pivotArea>
    </format>
    <format dxfId="422">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421">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420">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419">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418">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417">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416">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415">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414">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413">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412">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411">
      <pivotArea type="topRight" dataOnly="0" labelOnly="1" outline="0" fieldPosition="0"/>
    </format>
    <format dxfId="410">
      <pivotArea type="all" dataOnly="0" outline="0" fieldPosition="0"/>
    </format>
    <format dxfId="409">
      <pivotArea outline="0" collapsedLevelsAreSubtotals="1" fieldPosition="0"/>
    </format>
    <format dxfId="408">
      <pivotArea type="origin" dataOnly="0" labelOnly="1" outline="0" fieldPosition="0"/>
    </format>
    <format dxfId="407">
      <pivotArea type="topRight" dataOnly="0" labelOnly="1" outline="0" fieldPosition="0"/>
    </format>
    <format dxfId="406">
      <pivotArea field="1" type="button" dataOnly="0" labelOnly="1" outline="0" axis="axisRow" fieldPosition="0"/>
    </format>
    <format dxfId="405">
      <pivotArea field="20" type="button" dataOnly="0" labelOnly="1" outline="0" axis="axisRow" fieldPosition="1"/>
    </format>
    <format dxfId="404">
      <pivotArea field="7" type="button" dataOnly="0" labelOnly="1" outline="0" axis="axisRow" fieldPosition="2"/>
    </format>
    <format dxfId="403">
      <pivotArea field="8" type="button" dataOnly="0" labelOnly="1" outline="0" axis="axisRow" fieldPosition="3"/>
    </format>
    <format dxfId="402">
      <pivotArea field="0" type="button" dataOnly="0" labelOnly="1" outline="0" axis="axisRow" fieldPosition="4"/>
    </format>
    <format dxfId="401">
      <pivotArea field="3" type="button" dataOnly="0" labelOnly="1" outline="0" axis="axisRow" fieldPosition="5"/>
    </format>
    <format dxfId="400">
      <pivotArea field="4" type="button" dataOnly="0" labelOnly="1" outline="0" axis="axisRow" fieldPosition="6"/>
    </format>
    <format dxfId="399">
      <pivotArea dataOnly="0" labelOnly="1" outline="0" fieldPosition="0">
        <references count="1">
          <reference field="1" count="4">
            <x v="0"/>
            <x v="1"/>
            <x v="4"/>
            <x v="6"/>
          </reference>
        </references>
      </pivotArea>
    </format>
    <format dxfId="398">
      <pivotArea dataOnly="0" labelOnly="1" outline="0" fieldPosition="0">
        <references count="1">
          <reference field="1" count="4" defaultSubtotal="1">
            <x v="0"/>
            <x v="1"/>
            <x v="4"/>
            <x v="6"/>
          </reference>
        </references>
      </pivotArea>
    </format>
    <format dxfId="397">
      <pivotArea dataOnly="0" labelOnly="1" grandRow="1" outline="0" fieldPosition="0"/>
    </format>
    <format dxfId="396">
      <pivotArea dataOnly="0" labelOnly="1" outline="0" fieldPosition="0">
        <references count="2">
          <reference field="1" count="1" selected="0">
            <x v="0"/>
          </reference>
          <reference field="20" count="1">
            <x v="2"/>
          </reference>
        </references>
      </pivotArea>
    </format>
    <format dxfId="395">
      <pivotArea dataOnly="0" labelOnly="1" outline="0" fieldPosition="0">
        <references count="2">
          <reference field="1" count="1" selected="0">
            <x v="1"/>
          </reference>
          <reference field="20" count="0"/>
        </references>
      </pivotArea>
    </format>
    <format dxfId="394">
      <pivotArea dataOnly="0" labelOnly="1" outline="0" fieldPosition="0">
        <references count="2">
          <reference field="1" count="1" selected="0">
            <x v="4"/>
          </reference>
          <reference field="20" count="0"/>
        </references>
      </pivotArea>
    </format>
    <format dxfId="393">
      <pivotArea dataOnly="0" labelOnly="1" outline="0" fieldPosition="0">
        <references count="2">
          <reference field="1" count="1" selected="0">
            <x v="6"/>
          </reference>
          <reference field="20" count="0"/>
        </references>
      </pivotArea>
    </format>
    <format dxfId="392">
      <pivotArea dataOnly="0" labelOnly="1" outline="0" fieldPosition="0">
        <references count="3">
          <reference field="1" count="1" selected="0">
            <x v="0"/>
          </reference>
          <reference field="7" count="2">
            <x v="2"/>
            <x v="5"/>
          </reference>
          <reference field="20" count="1" selected="0">
            <x v="2"/>
          </reference>
        </references>
      </pivotArea>
    </format>
    <format dxfId="391">
      <pivotArea dataOnly="0" labelOnly="1" outline="0" fieldPosition="0">
        <references count="3">
          <reference field="1" count="1" selected="0">
            <x v="1"/>
          </reference>
          <reference field="7" count="4">
            <x v="0"/>
            <x v="2"/>
            <x v="4"/>
            <x v="8"/>
          </reference>
          <reference field="20" count="1" selected="0">
            <x v="1"/>
          </reference>
        </references>
      </pivotArea>
    </format>
    <format dxfId="390">
      <pivotArea dataOnly="0" labelOnly="1" outline="0" fieldPosition="0">
        <references count="3">
          <reference field="1" count="1" selected="0">
            <x v="1"/>
          </reference>
          <reference field="7" count="3">
            <x v="0"/>
            <x v="2"/>
            <x v="4"/>
          </reference>
          <reference field="20" count="1" selected="0">
            <x v="2"/>
          </reference>
        </references>
      </pivotArea>
    </format>
    <format dxfId="389">
      <pivotArea dataOnly="0" labelOnly="1" outline="0" fieldPosition="0">
        <references count="3">
          <reference field="1" count="1" selected="0">
            <x v="4"/>
          </reference>
          <reference field="7" count="1">
            <x v="1"/>
          </reference>
          <reference field="20" count="1" selected="0">
            <x v="1"/>
          </reference>
        </references>
      </pivotArea>
    </format>
    <format dxfId="388">
      <pivotArea dataOnly="0" labelOnly="1" outline="0" fieldPosition="0">
        <references count="3">
          <reference field="1" count="1" selected="0">
            <x v="4"/>
          </reference>
          <reference field="7" count="1">
            <x v="2"/>
          </reference>
          <reference field="20" count="1" selected="0">
            <x v="2"/>
          </reference>
        </references>
      </pivotArea>
    </format>
    <format dxfId="387">
      <pivotArea dataOnly="0" labelOnly="1" outline="0" fieldPosition="0">
        <references count="3">
          <reference field="1" count="1" selected="0">
            <x v="6"/>
          </reference>
          <reference field="7" count="1">
            <x v="0"/>
          </reference>
          <reference field="20" count="1" selected="0">
            <x v="1"/>
          </reference>
        </references>
      </pivotArea>
    </format>
    <format dxfId="386">
      <pivotArea dataOnly="0" labelOnly="1" outline="0" fieldPosition="0">
        <references count="3">
          <reference field="1" count="1" selected="0">
            <x v="6"/>
          </reference>
          <reference field="7" count="2">
            <x v="2"/>
            <x v="4"/>
          </reference>
          <reference field="20" count="1" selected="0">
            <x v="2"/>
          </reference>
        </references>
      </pivotArea>
    </format>
    <format dxfId="385">
      <pivotArea dataOnly="0" labelOnly="1" outline="0" fieldPosition="0">
        <references count="4">
          <reference field="1" count="1" selected="0">
            <x v="0"/>
          </reference>
          <reference field="7" count="1" selected="0">
            <x v="2"/>
          </reference>
          <reference field="8" count="1">
            <x v="7"/>
          </reference>
          <reference field="20" count="1" selected="0">
            <x v="2"/>
          </reference>
        </references>
      </pivotArea>
    </format>
    <format dxfId="384">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383">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382">
      <pivotArea dataOnly="0" labelOnly="1" outline="0" fieldPosition="0">
        <references count="4">
          <reference field="1" count="1" selected="0">
            <x v="1"/>
          </reference>
          <reference field="7" count="1" selected="0">
            <x v="2"/>
          </reference>
          <reference field="8" count="1">
            <x v="7"/>
          </reference>
          <reference field="20" count="1" selected="0">
            <x v="1"/>
          </reference>
        </references>
      </pivotArea>
    </format>
    <format dxfId="381">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380">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379">
      <pivotArea dataOnly="0" labelOnly="1" outline="0" fieldPosition="0">
        <references count="4">
          <reference field="1" count="1" selected="0">
            <x v="1"/>
          </reference>
          <reference field="7" count="1" selected="0">
            <x v="2"/>
          </reference>
          <reference field="8" count="1">
            <x v="7"/>
          </reference>
          <reference field="20" count="1" selected="0">
            <x v="2"/>
          </reference>
        </references>
      </pivotArea>
    </format>
    <format dxfId="378">
      <pivotArea dataOnly="0" labelOnly="1" outline="0" fieldPosition="0">
        <references count="4">
          <reference field="1" count="1" selected="0">
            <x v="1"/>
          </reference>
          <reference field="7" count="1" selected="0">
            <x v="4"/>
          </reference>
          <reference field="8" count="1">
            <x v="8"/>
          </reference>
          <reference field="20" count="1" selected="0">
            <x v="2"/>
          </reference>
        </references>
      </pivotArea>
    </format>
    <format dxfId="377">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376">
      <pivotArea dataOnly="0" labelOnly="1" outline="0" fieldPosition="0">
        <references count="4">
          <reference field="1" count="1" selected="0">
            <x v="4"/>
          </reference>
          <reference field="7" count="1" selected="0">
            <x v="2"/>
          </reference>
          <reference field="8" count="1">
            <x v="3"/>
          </reference>
          <reference field="20" count="1" selected="0">
            <x v="2"/>
          </reference>
        </references>
      </pivotArea>
    </format>
    <format dxfId="375">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374">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373">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372">
      <pivotArea dataOnly="0" labelOnly="1" outline="0" fieldPosition="0">
        <references count="5">
          <reference field="0" count="1">
            <x v="119"/>
          </reference>
          <reference field="1" count="1" selected="0">
            <x v="0"/>
          </reference>
          <reference field="7" count="1" selected="0">
            <x v="2"/>
          </reference>
          <reference field="8" count="1" selected="0">
            <x v="7"/>
          </reference>
          <reference field="20" count="1" selected="0">
            <x v="2"/>
          </reference>
        </references>
      </pivotArea>
    </format>
    <format dxfId="371">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370">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369">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368">
      <pivotArea dataOnly="0" labelOnly="1" outline="0" fieldPosition="0">
        <references count="5">
          <reference field="0" count="1">
            <x v="138"/>
          </reference>
          <reference field="1" count="1" selected="0">
            <x v="1"/>
          </reference>
          <reference field="7" count="1" selected="0">
            <x v="2"/>
          </reference>
          <reference field="8" count="1" selected="0">
            <x v="7"/>
          </reference>
          <reference field="20" count="1" selected="0">
            <x v="1"/>
          </reference>
        </references>
      </pivotArea>
    </format>
    <format dxfId="367">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366">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365">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364">
      <pivotArea dataOnly="0" labelOnly="1" outline="0" fieldPosition="0">
        <references count="5">
          <reference field="0" count="1">
            <x v="51"/>
          </reference>
          <reference field="1" count="1" selected="0">
            <x v="1"/>
          </reference>
          <reference field="7" count="1" selected="0">
            <x v="2"/>
          </reference>
          <reference field="8" count="1" selected="0">
            <x v="7"/>
          </reference>
          <reference field="20" count="1" selected="0">
            <x v="2"/>
          </reference>
        </references>
      </pivotArea>
    </format>
    <format dxfId="363">
      <pivotArea dataOnly="0" labelOnly="1" outline="0" fieldPosition="0">
        <references count="5">
          <reference field="0" count="1">
            <x v="153"/>
          </reference>
          <reference field="1" count="1" selected="0">
            <x v="1"/>
          </reference>
          <reference field="7" count="1" selected="0">
            <x v="4"/>
          </reference>
          <reference field="8" count="1" selected="0">
            <x v="8"/>
          </reference>
          <reference field="20" count="1" selected="0">
            <x v="2"/>
          </reference>
        </references>
      </pivotArea>
    </format>
    <format dxfId="362">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361">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360">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359">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358">
      <pivotArea dataOnly="0" labelOnly="1" outline="0" fieldPosition="0">
        <references count="5">
          <reference field="0" count="2">
            <x v="181"/>
            <x v="194"/>
          </reference>
          <reference field="1" count="1" selected="0">
            <x v="6"/>
          </reference>
          <reference field="7" count="1" selected="0">
            <x v="4"/>
          </reference>
          <reference field="8" count="1" selected="0">
            <x v="0"/>
          </reference>
          <reference field="20" count="1" selected="0">
            <x v="2"/>
          </reference>
        </references>
      </pivotArea>
    </format>
    <format dxfId="357">
      <pivotArea dataOnly="0" labelOnly="1" outline="0" fieldPosition="0">
        <references count="6">
          <reference field="0" count="1" selected="0">
            <x v="119"/>
          </reference>
          <reference field="1" count="1" selected="0">
            <x v="0"/>
          </reference>
          <reference field="3" count="1">
            <x v="239"/>
          </reference>
          <reference field="7" count="1" selected="0">
            <x v="2"/>
          </reference>
          <reference field="8" count="1" selected="0">
            <x v="7"/>
          </reference>
          <reference field="20" count="1" selected="0">
            <x v="2"/>
          </reference>
        </references>
      </pivotArea>
    </format>
    <format dxfId="356">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355">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354">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353">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1"/>
          </reference>
        </references>
      </pivotArea>
    </format>
    <format dxfId="352">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351">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350">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349">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348">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347">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346">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345">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344">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343">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342">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341">
      <pivotArea dataOnly="0" labelOnly="1" outline="0" fieldPosition="0">
        <references count="7">
          <reference field="0" count="1" selected="0">
            <x v="119"/>
          </reference>
          <reference field="1" count="1" selected="0">
            <x v="0"/>
          </reference>
          <reference field="3" count="1" selected="0">
            <x v="239"/>
          </reference>
          <reference field="4" count="1">
            <x v="4"/>
          </reference>
          <reference field="7" count="1" selected="0">
            <x v="2"/>
          </reference>
          <reference field="8" count="1" selected="0">
            <x v="7"/>
          </reference>
          <reference field="20" count="1" selected="0">
            <x v="2"/>
          </reference>
        </references>
      </pivotArea>
    </format>
    <format dxfId="340">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339">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338">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337">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1"/>
          </reference>
        </references>
      </pivotArea>
    </format>
    <format dxfId="336">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335">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334">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333">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332">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331">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330">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329">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328">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327">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326">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325">
      <pivotArea type="topRight" dataOnly="0" labelOnly="1" outline="0" fieldPosition="0"/>
    </format>
    <format dxfId="324">
      <pivotArea type="all" dataOnly="0" outline="0" fieldPosition="0"/>
    </format>
    <format dxfId="323">
      <pivotArea outline="0" collapsedLevelsAreSubtotals="1" fieldPosition="0"/>
    </format>
    <format dxfId="322">
      <pivotArea type="origin" dataOnly="0" labelOnly="1" outline="0" fieldPosition="0"/>
    </format>
    <format dxfId="321">
      <pivotArea type="topRight" dataOnly="0" labelOnly="1" outline="0" fieldPosition="0"/>
    </format>
    <format dxfId="320">
      <pivotArea field="1" type="button" dataOnly="0" labelOnly="1" outline="0" axis="axisRow" fieldPosition="0"/>
    </format>
    <format dxfId="319">
      <pivotArea field="20" type="button" dataOnly="0" labelOnly="1" outline="0" axis="axisRow" fieldPosition="1"/>
    </format>
    <format dxfId="318">
      <pivotArea field="7" type="button" dataOnly="0" labelOnly="1" outline="0" axis="axisRow" fieldPosition="2"/>
    </format>
    <format dxfId="317">
      <pivotArea field="8" type="button" dataOnly="0" labelOnly="1" outline="0" axis="axisRow" fieldPosition="3"/>
    </format>
    <format dxfId="316">
      <pivotArea field="0" type="button" dataOnly="0" labelOnly="1" outline="0" axis="axisRow" fieldPosition="4"/>
    </format>
    <format dxfId="315">
      <pivotArea field="3" type="button" dataOnly="0" labelOnly="1" outline="0" axis="axisRow" fieldPosition="5"/>
    </format>
    <format dxfId="314">
      <pivotArea field="4" type="button" dataOnly="0" labelOnly="1" outline="0" axis="axisRow" fieldPosition="6"/>
    </format>
    <format dxfId="313">
      <pivotArea dataOnly="0" labelOnly="1" outline="0" fieldPosition="0">
        <references count="1">
          <reference field="1" count="4">
            <x v="0"/>
            <x v="1"/>
            <x v="4"/>
            <x v="6"/>
          </reference>
        </references>
      </pivotArea>
    </format>
    <format dxfId="312">
      <pivotArea dataOnly="0" labelOnly="1" outline="0" fieldPosition="0">
        <references count="1">
          <reference field="1" count="4" defaultSubtotal="1">
            <x v="0"/>
            <x v="1"/>
            <x v="4"/>
            <x v="6"/>
          </reference>
        </references>
      </pivotArea>
    </format>
    <format dxfId="311">
      <pivotArea dataOnly="0" labelOnly="1" grandRow="1" outline="0" fieldPosition="0"/>
    </format>
    <format dxfId="310">
      <pivotArea dataOnly="0" labelOnly="1" outline="0" fieldPosition="0">
        <references count="2">
          <reference field="1" count="1" selected="0">
            <x v="0"/>
          </reference>
          <reference field="20" count="1">
            <x v="2"/>
          </reference>
        </references>
      </pivotArea>
    </format>
    <format dxfId="309">
      <pivotArea dataOnly="0" labelOnly="1" outline="0" fieldPosition="0">
        <references count="2">
          <reference field="1" count="1" selected="0">
            <x v="1"/>
          </reference>
          <reference field="20" count="0"/>
        </references>
      </pivotArea>
    </format>
    <format dxfId="308">
      <pivotArea dataOnly="0" labelOnly="1" outline="0" fieldPosition="0">
        <references count="2">
          <reference field="1" count="1" selected="0">
            <x v="4"/>
          </reference>
          <reference field="20" count="0"/>
        </references>
      </pivotArea>
    </format>
    <format dxfId="307">
      <pivotArea dataOnly="0" labelOnly="1" outline="0" fieldPosition="0">
        <references count="2">
          <reference field="1" count="1" selected="0">
            <x v="6"/>
          </reference>
          <reference field="20" count="0"/>
        </references>
      </pivotArea>
    </format>
    <format dxfId="306">
      <pivotArea dataOnly="0" labelOnly="1" outline="0" fieldPosition="0">
        <references count="3">
          <reference field="1" count="1" selected="0">
            <x v="0"/>
          </reference>
          <reference field="7" count="2">
            <x v="2"/>
            <x v="5"/>
          </reference>
          <reference field="20" count="1" selected="0">
            <x v="2"/>
          </reference>
        </references>
      </pivotArea>
    </format>
    <format dxfId="305">
      <pivotArea dataOnly="0" labelOnly="1" outline="0" fieldPosition="0">
        <references count="3">
          <reference field="1" count="1" selected="0">
            <x v="1"/>
          </reference>
          <reference field="7" count="4">
            <x v="0"/>
            <x v="2"/>
            <x v="4"/>
            <x v="8"/>
          </reference>
          <reference field="20" count="1" selected="0">
            <x v="1"/>
          </reference>
        </references>
      </pivotArea>
    </format>
    <format dxfId="304">
      <pivotArea dataOnly="0" labelOnly="1" outline="0" fieldPosition="0">
        <references count="3">
          <reference field="1" count="1" selected="0">
            <x v="1"/>
          </reference>
          <reference field="7" count="3">
            <x v="0"/>
            <x v="2"/>
            <x v="4"/>
          </reference>
          <reference field="20" count="1" selected="0">
            <x v="2"/>
          </reference>
        </references>
      </pivotArea>
    </format>
    <format dxfId="303">
      <pivotArea dataOnly="0" labelOnly="1" outline="0" fieldPosition="0">
        <references count="3">
          <reference field="1" count="1" selected="0">
            <x v="4"/>
          </reference>
          <reference field="7" count="1">
            <x v="1"/>
          </reference>
          <reference field="20" count="1" selected="0">
            <x v="1"/>
          </reference>
        </references>
      </pivotArea>
    </format>
    <format dxfId="302">
      <pivotArea dataOnly="0" labelOnly="1" outline="0" fieldPosition="0">
        <references count="3">
          <reference field="1" count="1" selected="0">
            <x v="4"/>
          </reference>
          <reference field="7" count="1">
            <x v="2"/>
          </reference>
          <reference field="20" count="1" selected="0">
            <x v="2"/>
          </reference>
        </references>
      </pivotArea>
    </format>
    <format dxfId="301">
      <pivotArea dataOnly="0" labelOnly="1" outline="0" fieldPosition="0">
        <references count="3">
          <reference field="1" count="1" selected="0">
            <x v="6"/>
          </reference>
          <reference field="7" count="1">
            <x v="0"/>
          </reference>
          <reference field="20" count="1" selected="0">
            <x v="1"/>
          </reference>
        </references>
      </pivotArea>
    </format>
    <format dxfId="300">
      <pivotArea dataOnly="0" labelOnly="1" outline="0" fieldPosition="0">
        <references count="3">
          <reference field="1" count="1" selected="0">
            <x v="6"/>
          </reference>
          <reference field="7" count="2">
            <x v="2"/>
            <x v="4"/>
          </reference>
          <reference field="20" count="1" selected="0">
            <x v="2"/>
          </reference>
        </references>
      </pivotArea>
    </format>
    <format dxfId="299">
      <pivotArea dataOnly="0" labelOnly="1" outline="0" fieldPosition="0">
        <references count="4">
          <reference field="1" count="1" selected="0">
            <x v="0"/>
          </reference>
          <reference field="7" count="1" selected="0">
            <x v="2"/>
          </reference>
          <reference field="8" count="1">
            <x v="7"/>
          </reference>
          <reference field="20" count="1" selected="0">
            <x v="2"/>
          </reference>
        </references>
      </pivotArea>
    </format>
    <format dxfId="298">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297">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296">
      <pivotArea dataOnly="0" labelOnly="1" outline="0" fieldPosition="0">
        <references count="4">
          <reference field="1" count="1" selected="0">
            <x v="1"/>
          </reference>
          <reference field="7" count="1" selected="0">
            <x v="2"/>
          </reference>
          <reference field="8" count="1">
            <x v="7"/>
          </reference>
          <reference field="20" count="1" selected="0">
            <x v="1"/>
          </reference>
        </references>
      </pivotArea>
    </format>
    <format dxfId="295">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294">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293">
      <pivotArea dataOnly="0" labelOnly="1" outline="0" fieldPosition="0">
        <references count="4">
          <reference field="1" count="1" selected="0">
            <x v="1"/>
          </reference>
          <reference field="7" count="1" selected="0">
            <x v="2"/>
          </reference>
          <reference field="8" count="1">
            <x v="7"/>
          </reference>
          <reference field="20" count="1" selected="0">
            <x v="2"/>
          </reference>
        </references>
      </pivotArea>
    </format>
    <format dxfId="292">
      <pivotArea dataOnly="0" labelOnly="1" outline="0" fieldPosition="0">
        <references count="4">
          <reference field="1" count="1" selected="0">
            <x v="1"/>
          </reference>
          <reference field="7" count="1" selected="0">
            <x v="4"/>
          </reference>
          <reference field="8" count="1">
            <x v="8"/>
          </reference>
          <reference field="20" count="1" selected="0">
            <x v="2"/>
          </reference>
        </references>
      </pivotArea>
    </format>
    <format dxfId="291">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290">
      <pivotArea dataOnly="0" labelOnly="1" outline="0" fieldPosition="0">
        <references count="4">
          <reference field="1" count="1" selected="0">
            <x v="4"/>
          </reference>
          <reference field="7" count="1" selected="0">
            <x v="2"/>
          </reference>
          <reference field="8" count="1">
            <x v="3"/>
          </reference>
          <reference field="20" count="1" selected="0">
            <x v="2"/>
          </reference>
        </references>
      </pivotArea>
    </format>
    <format dxfId="289">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288">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287">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286">
      <pivotArea dataOnly="0" labelOnly="1" outline="0" fieldPosition="0">
        <references count="5">
          <reference field="0" count="1">
            <x v="119"/>
          </reference>
          <reference field="1" count="1" selected="0">
            <x v="0"/>
          </reference>
          <reference field="7" count="1" selected="0">
            <x v="2"/>
          </reference>
          <reference field="8" count="1" selected="0">
            <x v="7"/>
          </reference>
          <reference field="20" count="1" selected="0">
            <x v="2"/>
          </reference>
        </references>
      </pivotArea>
    </format>
    <format dxfId="285">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284">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283">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282">
      <pivotArea dataOnly="0" labelOnly="1" outline="0" fieldPosition="0">
        <references count="5">
          <reference field="0" count="1">
            <x v="138"/>
          </reference>
          <reference field="1" count="1" selected="0">
            <x v="1"/>
          </reference>
          <reference field="7" count="1" selected="0">
            <x v="2"/>
          </reference>
          <reference field="8" count="1" selected="0">
            <x v="7"/>
          </reference>
          <reference field="20" count="1" selected="0">
            <x v="1"/>
          </reference>
        </references>
      </pivotArea>
    </format>
    <format dxfId="281">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280">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279">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278">
      <pivotArea dataOnly="0" labelOnly="1" outline="0" fieldPosition="0">
        <references count="5">
          <reference field="0" count="1">
            <x v="51"/>
          </reference>
          <reference field="1" count="1" selected="0">
            <x v="1"/>
          </reference>
          <reference field="7" count="1" selected="0">
            <x v="2"/>
          </reference>
          <reference field="8" count="1" selected="0">
            <x v="7"/>
          </reference>
          <reference field="20" count="1" selected="0">
            <x v="2"/>
          </reference>
        </references>
      </pivotArea>
    </format>
    <format dxfId="277">
      <pivotArea dataOnly="0" labelOnly="1" outline="0" fieldPosition="0">
        <references count="5">
          <reference field="0" count="1">
            <x v="153"/>
          </reference>
          <reference field="1" count="1" selected="0">
            <x v="1"/>
          </reference>
          <reference field="7" count="1" selected="0">
            <x v="4"/>
          </reference>
          <reference field="8" count="1" selected="0">
            <x v="8"/>
          </reference>
          <reference field="20" count="1" selected="0">
            <x v="2"/>
          </reference>
        </references>
      </pivotArea>
    </format>
    <format dxfId="276">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275">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274">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273">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272">
      <pivotArea dataOnly="0" labelOnly="1" outline="0" fieldPosition="0">
        <references count="5">
          <reference field="0" count="2">
            <x v="181"/>
            <x v="194"/>
          </reference>
          <reference field="1" count="1" selected="0">
            <x v="6"/>
          </reference>
          <reference field="7" count="1" selected="0">
            <x v="4"/>
          </reference>
          <reference field="8" count="1" selected="0">
            <x v="0"/>
          </reference>
          <reference field="20" count="1" selected="0">
            <x v="2"/>
          </reference>
        </references>
      </pivotArea>
    </format>
    <format dxfId="271">
      <pivotArea dataOnly="0" labelOnly="1" outline="0" fieldPosition="0">
        <references count="6">
          <reference field="0" count="1" selected="0">
            <x v="119"/>
          </reference>
          <reference field="1" count="1" selected="0">
            <x v="0"/>
          </reference>
          <reference field="3" count="1">
            <x v="239"/>
          </reference>
          <reference field="7" count="1" selected="0">
            <x v="2"/>
          </reference>
          <reference field="8" count="1" selected="0">
            <x v="7"/>
          </reference>
          <reference field="20" count="1" selected="0">
            <x v="2"/>
          </reference>
        </references>
      </pivotArea>
    </format>
    <format dxfId="270">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269">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268">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267">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1"/>
          </reference>
        </references>
      </pivotArea>
    </format>
    <format dxfId="266">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265">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264">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263">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262">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261">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260">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259">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258">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257">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256">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255">
      <pivotArea dataOnly="0" labelOnly="1" outline="0" fieldPosition="0">
        <references count="7">
          <reference field="0" count="1" selected="0">
            <x v="119"/>
          </reference>
          <reference field="1" count="1" selected="0">
            <x v="0"/>
          </reference>
          <reference field="3" count="1" selected="0">
            <x v="239"/>
          </reference>
          <reference field="4" count="1">
            <x v="4"/>
          </reference>
          <reference field="7" count="1" selected="0">
            <x v="2"/>
          </reference>
          <reference field="8" count="1" selected="0">
            <x v="7"/>
          </reference>
          <reference field="20" count="1" selected="0">
            <x v="2"/>
          </reference>
        </references>
      </pivotArea>
    </format>
    <format dxfId="254">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253">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252">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251">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1"/>
          </reference>
        </references>
      </pivotArea>
    </format>
    <format dxfId="250">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249">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248">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247">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246">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245">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244">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243">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242">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241">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240">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239">
      <pivotArea type="topRight" dataOnly="0" labelOnly="1"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A3C35BD-97AE-465D-A8D2-07D19A33EA1E}" name="TablaDinámica1" cacheId="2"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4:I64" firstHeaderRow="2" firstDataRow="2" firstDataCol="8" rowPageCount="1" colPageCount="1"/>
  <pivotFields count="21">
    <pivotField axis="axisRow" dataField="1" compact="0" outline="0" subtotalTop="0" showAll="0" defaultSubtotal="0">
      <items count="197">
        <item x="0"/>
        <item x="1"/>
        <item x="2"/>
        <item x="3"/>
        <item x="4"/>
        <item x="5"/>
        <item x="6"/>
        <item x="7"/>
        <item x="8"/>
        <item x="9"/>
        <item x="10"/>
        <item x="11"/>
        <item x="27"/>
        <item x="28"/>
        <item x="29"/>
        <item x="30"/>
        <item x="31"/>
        <item x="32"/>
        <item x="33"/>
        <item x="34"/>
        <item x="49"/>
        <item x="50"/>
        <item x="51"/>
        <item x="52"/>
        <item x="53"/>
        <item x="57"/>
        <item x="58"/>
        <item x="59"/>
        <item x="60"/>
        <item x="61"/>
        <item x="62"/>
        <item x="63"/>
        <item x="82"/>
        <item x="83"/>
        <item x="84"/>
        <item x="85"/>
        <item x="86"/>
        <item x="87"/>
        <item x="88"/>
        <item x="110"/>
        <item x="111"/>
        <item x="112"/>
        <item x="113"/>
        <item x="114"/>
        <item x="115"/>
        <item x="116"/>
        <item x="117"/>
        <item x="118"/>
        <item x="119"/>
        <item x="120"/>
        <item x="121"/>
        <item x="122"/>
        <item x="123"/>
        <item x="124"/>
        <item x="125"/>
        <item x="126"/>
        <item x="127"/>
        <item x="128"/>
        <item x="129"/>
        <item x="130"/>
        <item x="131"/>
        <item x="132"/>
        <item x="133"/>
        <item x="134"/>
        <item x="12"/>
        <item x="13"/>
        <item x="14"/>
        <item x="15"/>
        <item x="16"/>
        <item x="17"/>
        <item x="35"/>
        <item x="36"/>
        <item x="37"/>
        <item x="54"/>
        <item x="64"/>
        <item x="65"/>
        <item x="66"/>
        <item x="89"/>
        <item x="90"/>
        <item x="91"/>
        <item x="92"/>
        <item x="93"/>
        <item x="94"/>
        <item x="95"/>
        <item x="96"/>
        <item x="97"/>
        <item x="98"/>
        <item x="99"/>
        <item x="100"/>
        <item x="101"/>
        <item x="102"/>
        <item x="103"/>
        <item x="135"/>
        <item x="136"/>
        <item x="38"/>
        <item x="137"/>
        <item x="55"/>
        <item x="18"/>
        <item x="19"/>
        <item x="20"/>
        <item x="21"/>
        <item x="22"/>
        <item x="23"/>
        <item x="24"/>
        <item x="25"/>
        <item x="26"/>
        <item x="39"/>
        <item x="40"/>
        <item x="41"/>
        <item x="42"/>
        <item x="43"/>
        <item x="44"/>
        <item x="45"/>
        <item x="46"/>
        <item x="56"/>
        <item x="67"/>
        <item x="47"/>
        <item x="68"/>
        <item x="69"/>
        <item x="70"/>
        <item x="71"/>
        <item x="72"/>
        <item x="73"/>
        <item x="74"/>
        <item x="104"/>
        <item x="105"/>
        <item x="106"/>
        <item x="107"/>
        <item x="108"/>
        <item x="109"/>
        <item x="138"/>
        <item x="139"/>
        <item x="140"/>
        <item x="75"/>
        <item x="76"/>
        <item x="77"/>
        <item x="78"/>
        <item x="79"/>
        <item x="141"/>
        <item x="142"/>
        <item x="143"/>
        <item x="144"/>
        <item x="145"/>
        <item x="146"/>
        <item x="147"/>
        <item x="148"/>
        <item x="149"/>
        <item x="150"/>
        <item x="151"/>
        <item x="152"/>
        <item x="153"/>
        <item x="154"/>
        <item x="155"/>
        <item x="156"/>
        <item x="157"/>
        <item x="158"/>
        <item x="159"/>
        <item x="164"/>
        <item x="165"/>
        <item x="166"/>
        <item x="167"/>
        <item x="168"/>
        <item x="169"/>
        <item x="170"/>
        <item x="171"/>
        <item x="173"/>
        <item x="174"/>
        <item x="175"/>
        <item x="176"/>
        <item x="177"/>
        <item x="178"/>
        <item x="179"/>
        <item x="180"/>
        <item x="181"/>
        <item x="182"/>
        <item x="185"/>
        <item x="186"/>
        <item x="187"/>
        <item x="188"/>
        <item x="189"/>
        <item x="190"/>
        <item x="191"/>
        <item x="192"/>
        <item x="193"/>
        <item x="194"/>
        <item x="195"/>
        <item x="196"/>
        <item x="48"/>
        <item x="80"/>
        <item x="81"/>
        <item x="160"/>
        <item x="161"/>
        <item x="162"/>
        <item x="163"/>
        <item x="172"/>
        <item x="183"/>
        <item x="184"/>
      </items>
    </pivotField>
    <pivotField axis="axisRow" compact="0" outline="0" subtotalTop="0" showAll="0">
      <items count="8">
        <item x="3"/>
        <item x="5"/>
        <item x="4"/>
        <item x="2"/>
        <item x="1"/>
        <item x="0"/>
        <item x="6"/>
        <item t="default"/>
      </items>
    </pivotField>
    <pivotField compact="0" outline="0" subtotalTop="0" showAll="0"/>
    <pivotField axis="axisRow" compact="0" outline="0" subtotalTop="0" showAll="0" defaultSubtotal="0">
      <items count="255">
        <item x="155"/>
        <item x="43"/>
        <item x="97"/>
        <item x="17"/>
        <item x="67"/>
        <item x="95"/>
        <item x="108"/>
        <item x="75"/>
        <item x="157"/>
        <item x="147"/>
        <item x="136"/>
        <item x="129"/>
        <item x="150"/>
        <item x="151"/>
        <item x="100"/>
        <item x="1"/>
        <item x="73"/>
        <item x="68"/>
        <item x="58"/>
        <item x="146"/>
        <item x="59"/>
        <item x="70"/>
        <item x="61"/>
        <item x="160"/>
        <item x="2"/>
        <item x="71"/>
        <item x="82"/>
        <item x="4"/>
        <item x="26"/>
        <item x="12"/>
        <item x="34"/>
        <item x="78"/>
        <item x="144"/>
        <item x="13"/>
        <item x="74"/>
        <item x="42"/>
        <item x="125"/>
        <item x="127"/>
        <item x="128"/>
        <item x="36"/>
        <item x="116"/>
        <item x="16"/>
        <item x="60"/>
        <item x="18"/>
        <item x="0"/>
        <item x="41"/>
        <item x="14"/>
        <item x="15"/>
        <item x="158"/>
        <item x="161"/>
        <item x="165"/>
        <item x="164"/>
        <item x="159"/>
        <item x="134"/>
        <item x="163"/>
        <item x="132"/>
        <item x="66"/>
        <item x="101"/>
        <item x="117"/>
        <item x="106"/>
        <item x="80"/>
        <item x="120"/>
        <item x="113"/>
        <item x="131"/>
        <item x="130"/>
        <item x="44"/>
        <item x="25"/>
        <item x="72"/>
        <item x="103"/>
        <item x="105"/>
        <item x="104"/>
        <item x="102"/>
        <item x="110"/>
        <item x="69"/>
        <item x="99"/>
        <item x="62"/>
        <item x="137"/>
        <item x="65"/>
        <item x="96"/>
        <item x="7"/>
        <item x="6"/>
        <item x="154"/>
        <item x="114"/>
        <item x="124"/>
        <item x="40"/>
        <item x="118"/>
        <item x="98"/>
        <item x="115"/>
        <item x="3"/>
        <item x="5"/>
        <item x="156"/>
        <item x="33"/>
        <item x="152"/>
        <item x="94"/>
        <item x="29"/>
        <item x="11"/>
        <item x="107"/>
        <item x="109"/>
        <item x="111"/>
        <item x="112"/>
        <item x="46"/>
        <item x="64"/>
        <item x="32"/>
        <item x="139"/>
        <item x="63"/>
        <item x="22"/>
        <item x="48"/>
        <item x="21"/>
        <item x="8"/>
        <item x="20"/>
        <item x="141"/>
        <item x="39"/>
        <item x="51"/>
        <item x="135"/>
        <item x="76"/>
        <item x="28"/>
        <item x="55"/>
        <item x="148"/>
        <item x="149"/>
        <item x="30"/>
        <item x="77"/>
        <item x="79"/>
        <item x="85"/>
        <item x="86"/>
        <item x="87"/>
        <item x="88"/>
        <item x="89"/>
        <item x="142"/>
        <item x="145"/>
        <item x="153"/>
        <item x="27"/>
        <item x="50"/>
        <item x="53"/>
        <item x="83"/>
        <item x="133"/>
        <item x="35"/>
        <item x="37"/>
        <item x="54"/>
        <item x="91"/>
        <item x="92"/>
        <item x="119"/>
        <item x="24"/>
        <item x="121"/>
        <item x="122"/>
        <item x="123"/>
        <item x="126"/>
        <item x="138"/>
        <item x="140"/>
        <item m="1" x="224"/>
        <item m="1" x="226"/>
        <item m="1" x="225"/>
        <item m="1" x="223"/>
        <item x="169"/>
        <item x="170"/>
        <item x="171"/>
        <item x="172"/>
        <item x="173"/>
        <item x="174"/>
        <item x="175"/>
        <item x="176"/>
        <item x="177"/>
        <item x="178"/>
        <item x="179"/>
        <item x="180"/>
        <item x="181"/>
        <item x="182"/>
        <item x="183"/>
        <item x="184"/>
        <item x="189"/>
        <item x="190"/>
        <item x="191"/>
        <item x="192"/>
        <item x="193"/>
        <item x="194"/>
        <item x="195"/>
        <item x="196"/>
        <item x="197"/>
        <item x="199"/>
        <item x="200"/>
        <item x="202"/>
        <item x="203"/>
        <item x="204"/>
        <item x="205"/>
        <item x="206"/>
        <item x="207"/>
        <item x="208"/>
        <item x="209"/>
        <item x="210"/>
        <item x="211"/>
        <item x="212"/>
        <item x="213"/>
        <item x="214"/>
        <item x="215"/>
        <item x="216"/>
        <item x="217"/>
        <item x="218"/>
        <item x="219"/>
        <item x="220"/>
        <item x="221"/>
        <item m="1" x="222"/>
        <item m="1" x="238"/>
        <item m="1" x="241"/>
        <item m="1" x="247"/>
        <item m="1" x="231"/>
        <item m="1" x="235"/>
        <item m="1" x="239"/>
        <item m="1" x="234"/>
        <item m="1" x="244"/>
        <item m="1" x="253"/>
        <item m="1" x="252"/>
        <item m="1" x="230"/>
        <item m="1" x="243"/>
        <item m="1" x="251"/>
        <item m="1" x="237"/>
        <item m="1" x="249"/>
        <item m="1" x="229"/>
        <item m="1" x="236"/>
        <item m="1" x="232"/>
        <item m="1" x="254"/>
        <item m="1" x="240"/>
        <item m="1" x="233"/>
        <item m="1" x="228"/>
        <item m="1" x="248"/>
        <item m="1" x="246"/>
        <item m="1" x="242"/>
        <item m="1" x="245"/>
        <item m="1" x="250"/>
        <item m="1" x="227"/>
        <item x="9"/>
        <item x="10"/>
        <item x="19"/>
        <item x="23"/>
        <item x="31"/>
        <item x="38"/>
        <item x="47"/>
        <item x="49"/>
        <item x="52"/>
        <item x="56"/>
        <item x="57"/>
        <item x="81"/>
        <item x="84"/>
        <item x="90"/>
        <item x="93"/>
        <item x="143"/>
        <item x="162"/>
        <item x="166"/>
        <item x="167"/>
        <item x="201"/>
        <item x="168"/>
        <item x="185"/>
        <item x="186"/>
        <item x="187"/>
        <item x="188"/>
        <item x="198"/>
        <item x="45"/>
      </items>
    </pivotField>
    <pivotField axis="axisRow" compact="0" outline="0" subtotalTop="0" showAll="0" defaultSubtotal="0">
      <items count="176">
        <item x="1"/>
        <item x="41"/>
        <item x="21"/>
        <item x="93"/>
        <item x="53"/>
        <item x="47"/>
        <item x="83"/>
        <item x="76"/>
        <item x="11"/>
        <item x="89"/>
        <item x="32"/>
        <item x="63"/>
        <item x="78"/>
        <item m="1" x="157"/>
        <item x="14"/>
        <item x="29"/>
        <item x="84"/>
        <item x="68"/>
        <item x="73"/>
        <item x="86"/>
        <item x="3"/>
        <item x="23"/>
        <item x="57"/>
        <item x="74"/>
        <item x="90"/>
        <item x="62"/>
        <item x="12"/>
        <item x="88"/>
        <item x="6"/>
        <item x="46"/>
        <item x="44"/>
        <item x="40"/>
        <item x="67"/>
        <item x="42"/>
        <item x="4"/>
        <item x="65"/>
        <item x="94"/>
        <item x="92"/>
        <item x="24"/>
        <item x="52"/>
        <item x="75"/>
        <item x="22"/>
        <item x="43"/>
        <item x="72"/>
        <item x="64"/>
        <item x="91"/>
        <item x="9"/>
        <item x="2"/>
        <item x="87"/>
        <item x="5"/>
        <item x="16"/>
        <item x="8"/>
        <item x="49"/>
        <item x="51"/>
        <item x="82"/>
        <item x="10"/>
        <item x="71"/>
        <item x="18"/>
        <item x="15"/>
        <item x="20"/>
        <item x="56"/>
        <item x="37"/>
        <item x="54"/>
        <item x="25"/>
        <item x="59"/>
        <item x="69"/>
        <item x="17"/>
        <item x="26"/>
        <item m="1" x="162"/>
        <item m="1" x="147"/>
        <item m="1" x="140"/>
        <item m="1" x="142"/>
        <item m="1" x="144"/>
        <item m="1" x="160"/>
        <item m="1" x="153"/>
        <item m="1" x="155"/>
        <item m="1" x="175"/>
        <item m="1" x="139"/>
        <item m="1" x="148"/>
        <item m="1" x="171"/>
        <item x="97"/>
        <item x="98"/>
        <item x="99"/>
        <item m="1" x="165"/>
        <item m="1" x="164"/>
        <item x="101"/>
        <item x="102"/>
        <item x="103"/>
        <item x="108"/>
        <item m="1" x="146"/>
        <item x="110"/>
        <item m="1" x="173"/>
        <item x="112"/>
        <item x="113"/>
        <item m="1" x="141"/>
        <item m="1" x="166"/>
        <item x="116"/>
        <item x="117"/>
        <item x="118"/>
        <item x="121"/>
        <item x="122"/>
        <item x="123"/>
        <item x="124"/>
        <item x="125"/>
        <item x="126"/>
        <item x="127"/>
        <item x="128"/>
        <item x="129"/>
        <item x="130"/>
        <item x="131"/>
        <item m="1" x="152"/>
        <item x="133"/>
        <item x="134"/>
        <item x="135"/>
        <item x="136"/>
        <item m="1" x="170"/>
        <item m="1" x="158"/>
        <item m="1" x="163"/>
        <item m="1" x="154"/>
        <item m="1" x="151"/>
        <item m="1" x="137"/>
        <item m="1" x="172"/>
        <item m="1" x="150"/>
        <item m="1" x="149"/>
        <item m="1" x="143"/>
        <item m="1" x="169"/>
        <item m="1" x="159"/>
        <item m="1" x="145"/>
        <item m="1" x="174"/>
        <item m="1" x="138"/>
        <item m="1" x="156"/>
        <item m="1" x="167"/>
        <item m="1" x="161"/>
        <item x="0"/>
        <item x="7"/>
        <item x="13"/>
        <item x="19"/>
        <item x="27"/>
        <item m="1" x="168"/>
        <item x="31"/>
        <item x="33"/>
        <item x="34"/>
        <item x="35"/>
        <item x="36"/>
        <item x="38"/>
        <item x="39"/>
        <item x="45"/>
        <item x="48"/>
        <item x="50"/>
        <item x="55"/>
        <item x="58"/>
        <item x="60"/>
        <item x="61"/>
        <item x="77"/>
        <item x="79"/>
        <item x="80"/>
        <item x="81"/>
        <item x="85"/>
        <item x="95"/>
        <item x="96"/>
        <item x="100"/>
        <item x="104"/>
        <item x="105"/>
        <item x="106"/>
        <item x="107"/>
        <item x="109"/>
        <item x="111"/>
        <item x="114"/>
        <item x="115"/>
        <item x="119"/>
        <item x="120"/>
        <item x="28"/>
        <item x="30"/>
        <item x="66"/>
        <item x="70"/>
        <item x="132"/>
      </items>
    </pivotField>
    <pivotField compact="0" outline="0" subtotalTop="0" showAll="0"/>
    <pivotField axis="axisPage" compact="0" outline="0" subtotalTop="0" multipleItemSelectionAllowed="1" showAll="0">
      <items count="3">
        <item x="1"/>
        <item x="0"/>
        <item t="default"/>
      </items>
    </pivotField>
    <pivotField axis="axisRow" compact="0" outline="0" subtotalTop="0" showAll="0" defaultSubtotal="0">
      <items count="9">
        <item x="8"/>
        <item x="5"/>
        <item x="0"/>
        <item x="2"/>
        <item x="4"/>
        <item x="3"/>
        <item x="1"/>
        <item x="6"/>
        <item x="7"/>
      </items>
    </pivotField>
    <pivotField axis="axisRow" compact="0" outline="0" subtotalTop="0" showAll="0" defaultSubtotal="0">
      <items count="11">
        <item x="6"/>
        <item x="5"/>
        <item x="9"/>
        <item x="4"/>
        <item x="8"/>
        <item x="2"/>
        <item x="1"/>
        <item x="0"/>
        <item x="3"/>
        <item x="7"/>
        <item x="10"/>
      </items>
    </pivotField>
    <pivotField compact="0" outline="0" subtotalTop="0" showAll="0"/>
    <pivotField compact="0" outline="0" showAll="0" defaultSubtotal="0"/>
    <pivotField compact="0" outline="0" subtotalTop="0" showAll="0"/>
    <pivotField compact="0" outline="0" subtotalTop="0" showAll="0" defaultSubtotal="0">
      <items count="4">
        <item x="3"/>
        <item x="1"/>
        <item x="0"/>
        <item x="2"/>
      </items>
    </pivotField>
    <pivotField compact="0" outline="0" subtotalTop="0" showAll="0"/>
    <pivotField compact="0" outline="0" subtotalTop="0" showAll="0"/>
    <pivotField axis="axisRow" compact="0" outline="0" subtotalTop="0" showAll="0">
      <items count="50">
        <item h="1" m="1" x="48"/>
        <item h="1" x="0"/>
        <item x="37"/>
        <item x="36"/>
        <item x="11"/>
        <item x="47"/>
        <item x="41"/>
        <item x="13"/>
        <item x="27"/>
        <item x="22"/>
        <item x="28"/>
        <item x="19"/>
        <item x="34"/>
        <item x="7"/>
        <item x="32"/>
        <item x="17"/>
        <item x="24"/>
        <item x="9"/>
        <item x="2"/>
        <item x="25"/>
        <item x="45"/>
        <item x="43"/>
        <item x="26"/>
        <item x="20"/>
        <item x="23"/>
        <item x="33"/>
        <item x="40"/>
        <item x="44"/>
        <item x="42"/>
        <item x="21"/>
        <item x="14"/>
        <item x="16"/>
        <item x="31"/>
        <item x="30"/>
        <item x="46"/>
        <item x="3"/>
        <item x="29"/>
        <item x="38"/>
        <item x="18"/>
        <item x="35"/>
        <item x="4"/>
        <item x="10"/>
        <item x="6"/>
        <item x="39"/>
        <item x="1"/>
        <item x="15"/>
        <item x="12"/>
        <item x="5"/>
        <item x="8"/>
        <item t="default"/>
      </items>
    </pivotField>
    <pivotField compact="0" outline="0" showAll="0"/>
    <pivotField compact="0" outline="0" showAll="0"/>
    <pivotField compact="0" outline="0" showAll="0"/>
    <pivotField compact="0" outline="0" showAll="0"/>
    <pivotField axis="axisRow" compact="0" outline="0" multipleItemSelectionAllowed="1" showAll="0" defaultSubtotal="0">
      <items count="10">
        <item x="0"/>
        <item x="4"/>
        <item x="3"/>
        <item x="1"/>
        <item x="2"/>
        <item x="5"/>
        <item m="1" x="6"/>
        <item m="1" x="7"/>
        <item m="1" x="9"/>
        <item m="1" x="8"/>
      </items>
    </pivotField>
  </pivotFields>
  <rowFields count="8">
    <field x="1"/>
    <field x="20"/>
    <field x="7"/>
    <field x="8"/>
    <field x="0"/>
    <field x="3"/>
    <field x="4"/>
    <field x="15"/>
  </rowFields>
  <rowItems count="59">
    <i>
      <x/>
      <x/>
      <x v="1"/>
      <x v="1"/>
      <x v="118"/>
      <x v="121"/>
      <x v="53"/>
      <x v="7"/>
    </i>
    <i r="2">
      <x v="2"/>
      <x v="7"/>
      <x v="76"/>
      <x v="7"/>
      <x v="5"/>
      <x v="4"/>
    </i>
    <i r="4">
      <x v="119"/>
      <x v="60"/>
      <x v="39"/>
      <x v="30"/>
    </i>
    <i r="4">
      <x v="137"/>
      <x v="139"/>
      <x v="64"/>
      <x v="15"/>
    </i>
    <i r="2">
      <x v="3"/>
      <x v="9"/>
      <x v="115"/>
      <x v="114"/>
      <x v="147"/>
      <x v="46"/>
    </i>
    <i r="1">
      <x v="2"/>
      <x v="2"/>
      <x v="7"/>
      <x v="119"/>
      <x v="239"/>
      <x v="4"/>
      <x v="30"/>
    </i>
    <i r="2">
      <x v="5"/>
      <x v="2"/>
      <x v="135"/>
      <x v="241"/>
      <x v="150"/>
      <x v="31"/>
    </i>
    <i r="3">
      <x v="8"/>
      <x v="121"/>
      <x v="240"/>
      <x v="149"/>
      <x v="45"/>
    </i>
    <i r="1">
      <x v="4"/>
      <x v="6"/>
      <x v="6"/>
      <x v="31"/>
      <x v="29"/>
      <x v="146"/>
      <x v="41"/>
    </i>
    <i t="default">
      <x/>
    </i>
    <i>
      <x v="1"/>
      <x/>
      <x/>
      <x v="8"/>
      <x v="143"/>
      <x v="155"/>
      <x v="10"/>
      <x v="12"/>
    </i>
    <i r="2">
      <x v="2"/>
      <x v="7"/>
      <x v="40"/>
      <x v="145"/>
      <x v="18"/>
      <x v="16"/>
    </i>
    <i r="4">
      <x v="42"/>
      <x v="11"/>
      <x v="21"/>
      <x v="19"/>
    </i>
    <i r="4">
      <x v="49"/>
      <x v="146"/>
      <x v="22"/>
      <x v="22"/>
    </i>
    <i r="4">
      <x v="51"/>
      <x v="127"/>
      <x v="154"/>
      <x v="8"/>
    </i>
    <i r="4">
      <x v="140"/>
      <x v="152"/>
      <x v="17"/>
      <x v="14"/>
    </i>
    <i r="4">
      <x v="141"/>
      <x v="153"/>
      <x v="33"/>
      <x v="25"/>
    </i>
    <i r="4">
      <x v="155"/>
      <x v="166"/>
      <x v="66"/>
      <x v="17"/>
    </i>
    <i r="3">
      <x v="8"/>
      <x v="145"/>
      <x v="157"/>
      <x v="80"/>
      <x v="3"/>
    </i>
    <i r="4">
      <x v="151"/>
      <x v="162"/>
      <x v="85"/>
      <x v="2"/>
    </i>
    <i r="1">
      <x v="1"/>
      <x/>
      <x v="8"/>
      <x v="191"/>
      <x v="250"/>
      <x v="162"/>
      <x v="26"/>
    </i>
    <i r="2">
      <x v="2"/>
      <x v="7"/>
      <x v="138"/>
      <x v="246"/>
      <x v="5"/>
      <x v="32"/>
    </i>
    <i r="2">
      <x v="4"/>
      <x/>
      <x v="144"/>
      <x v="156"/>
      <x v="22"/>
      <x v="39"/>
    </i>
    <i r="2">
      <x v="8"/>
      <x v="8"/>
      <x v="56"/>
      <x v="12"/>
      <x v="12"/>
      <x v="36"/>
    </i>
    <i r="1">
      <x v="2"/>
      <x/>
      <x v="8"/>
      <x v="156"/>
      <x v="167"/>
      <x v="87"/>
      <x v="43"/>
    </i>
    <i r="2">
      <x v="2"/>
      <x v="7"/>
      <x v="51"/>
      <x v="243"/>
      <x v="155"/>
      <x v="10"/>
    </i>
    <i r="2">
      <x v="4"/>
      <x v="8"/>
      <x v="153"/>
      <x v="164"/>
      <x v="17"/>
      <x v="37"/>
    </i>
    <i r="1">
      <x v="4"/>
      <x v="6"/>
      <x v="6"/>
      <x v="61"/>
      <x v="29"/>
      <x v="9"/>
      <x v="33"/>
    </i>
    <i t="default">
      <x v="1"/>
    </i>
    <i>
      <x v="2"/>
      <x/>
      <x v="2"/>
      <x v="7"/>
      <x v="77"/>
      <x v="71"/>
      <x v="42"/>
      <x v="11"/>
    </i>
    <i r="4">
      <x v="84"/>
      <x v="72"/>
      <x v="26"/>
      <x v="23"/>
    </i>
    <i r="4">
      <x v="124"/>
      <x v="85"/>
      <x v="49"/>
      <x v="29"/>
    </i>
    <i r="4">
      <x v="127"/>
      <x v="142"/>
      <x v="17"/>
      <x v="9"/>
    </i>
    <i r="4">
      <x v="129"/>
      <x v="144"/>
      <x v="66"/>
      <x v="24"/>
    </i>
    <i r="1">
      <x v="4"/>
      <x v="6"/>
      <x v="6"/>
      <x v="38"/>
      <x v="29"/>
      <x v="173"/>
      <x v="38"/>
    </i>
    <i t="default">
      <x v="2"/>
    </i>
    <i>
      <x v="3"/>
      <x v="4"/>
      <x v="6"/>
      <x v="6"/>
      <x v="24"/>
      <x v="29"/>
      <x v="1"/>
      <x v="17"/>
    </i>
    <i t="default">
      <x v="3"/>
    </i>
    <i>
      <x v="4"/>
      <x/>
      <x v="2"/>
      <x v="7"/>
      <x v="107"/>
      <x v="234"/>
      <x v="139"/>
      <x v="13"/>
    </i>
    <i r="1">
      <x v="1"/>
      <x v="1"/>
      <x v="1"/>
      <x v="113"/>
      <x v="116"/>
      <x v="61"/>
      <x v="48"/>
    </i>
    <i r="1">
      <x v="2"/>
      <x v="2"/>
      <x v="3"/>
      <x v="12"/>
      <x v="232"/>
      <x v="58"/>
      <x v="47"/>
    </i>
    <i r="1">
      <x v="4"/>
      <x v="6"/>
      <x v="6"/>
      <x v="19"/>
      <x v="29"/>
      <x v="171"/>
      <x v="42"/>
    </i>
    <i t="default">
      <x v="4"/>
    </i>
    <i>
      <x v="5"/>
      <x/>
      <x v="2"/>
      <x v="7"/>
      <x v="67"/>
      <x v="3"/>
      <x v="8"/>
      <x v="18"/>
    </i>
    <i r="4">
      <x v="101"/>
      <x v="66"/>
      <x v="20"/>
      <x v="35"/>
    </i>
    <i r="2">
      <x v="3"/>
      <x v="8"/>
      <x v="104"/>
      <x v="115"/>
      <x v="57"/>
      <x v="40"/>
    </i>
    <i r="1">
      <x v="4"/>
      <x v="6"/>
      <x v="6"/>
      <x v="11"/>
      <x v="29"/>
      <x v="49"/>
      <x v="44"/>
    </i>
    <i t="default">
      <x v="5"/>
    </i>
    <i>
      <x v="6"/>
      <x/>
      <x/>
      <x v="8"/>
      <x v="165"/>
      <x v="177"/>
      <x v="98"/>
      <x v="27"/>
    </i>
    <i r="2">
      <x v="2"/>
      <x v="7"/>
      <x v="161"/>
      <x v="173"/>
      <x v="167"/>
      <x v="6"/>
    </i>
    <i r="3">
      <x v="8"/>
      <x v="180"/>
      <x v="192"/>
      <x v="49"/>
      <x v="5"/>
    </i>
    <i r="1">
      <x v="1"/>
      <x/>
      <x/>
      <x v="163"/>
      <x v="175"/>
      <x v="96"/>
      <x v="28"/>
    </i>
    <i r="1">
      <x v="2"/>
      <x v="2"/>
      <x v="8"/>
      <x v="167"/>
      <x v="247"/>
      <x v="170"/>
      <x v="34"/>
    </i>
    <i r="2">
      <x v="4"/>
      <x/>
      <x v="181"/>
      <x v="193"/>
      <x v="112"/>
      <x v="35"/>
    </i>
    <i r="4">
      <x v="194"/>
      <x v="253"/>
      <x v="3"/>
      <x v="21"/>
    </i>
    <i r="1">
      <x v="3"/>
      <x v="4"/>
      <x v="8"/>
      <x v="166"/>
      <x v="178"/>
      <x v="169"/>
      <x v="20"/>
    </i>
    <i r="1">
      <x v="5"/>
      <x v="4"/>
      <x/>
      <x v="178"/>
      <x v="190"/>
      <x v="3"/>
      <x v="21"/>
    </i>
    <i t="default">
      <x v="6"/>
    </i>
    <i t="grand">
      <x/>
    </i>
  </rowItems>
  <colItems count="1">
    <i/>
  </colItems>
  <pageFields count="1">
    <pageField fld="6" hier="-1"/>
  </pageFields>
  <dataFields count="1">
    <dataField name="Cuenta de No. PROCESO" fld="0" subtotal="count" baseField="0" baseItem="0"/>
  </dataFields>
  <formats count="212">
    <format dxfId="238">
      <pivotArea type="origin" dataOnly="0" labelOnly="1" outline="0" fieldPosition="0"/>
    </format>
    <format dxfId="237">
      <pivotArea field="12" type="button" dataOnly="0" labelOnly="1" outline="0"/>
    </format>
    <format dxfId="236">
      <pivotArea dataOnly="0" labelOnly="1" grandRow="1" outline="0" fieldPosition="0"/>
    </format>
    <format dxfId="235">
      <pivotArea dataOnly="0" outline="0" fieldPosition="0">
        <references count="1">
          <reference field="20" count="0" defaultSubtotal="1"/>
        </references>
      </pivotArea>
    </format>
    <format dxfId="234">
      <pivotArea dataOnly="0" outline="0" fieldPosition="0">
        <references count="1">
          <reference field="20" count="0" defaultSubtotal="1"/>
        </references>
      </pivotArea>
    </format>
    <format dxfId="233">
      <pivotArea dataOnly="0" outline="0" fieldPosition="0">
        <references count="1">
          <reference field="20" count="0" defaultSubtotal="1"/>
        </references>
      </pivotArea>
    </format>
    <format dxfId="232">
      <pivotArea field="6" type="button" dataOnly="0" labelOnly="1" outline="0" axis="axisPage" fieldPosition="0"/>
    </format>
    <format dxfId="231">
      <pivotArea type="origin" dataOnly="0" labelOnly="1" outline="0" fieldPosition="0"/>
    </format>
    <format dxfId="230">
      <pivotArea field="1" type="button" dataOnly="0" labelOnly="1" outline="0" axis="axisRow" fieldPosition="0"/>
    </format>
    <format dxfId="229">
      <pivotArea dataOnly="0" labelOnly="1" outline="0" fieldPosition="0">
        <references count="1">
          <reference field="1" count="1">
            <x v="0"/>
          </reference>
        </references>
      </pivotArea>
    </format>
    <format dxfId="228">
      <pivotArea dataOnly="0" labelOnly="1" outline="0" fieldPosition="0">
        <references count="1">
          <reference field="1" count="1" defaultSubtotal="1">
            <x v="0"/>
          </reference>
        </references>
      </pivotArea>
    </format>
    <format dxfId="227">
      <pivotArea dataOnly="0" labelOnly="1" outline="0" fieldPosition="0">
        <references count="1">
          <reference field="1" count="1">
            <x v="1"/>
          </reference>
        </references>
      </pivotArea>
    </format>
    <format dxfId="226">
      <pivotArea dataOnly="0" labelOnly="1" outline="0" fieldPosition="0">
        <references count="1">
          <reference field="1" count="1" defaultSubtotal="1">
            <x v="1"/>
          </reference>
        </references>
      </pivotArea>
    </format>
    <format dxfId="225">
      <pivotArea dataOnly="0" labelOnly="1" outline="0" fieldPosition="0">
        <references count="1">
          <reference field="1" count="1">
            <x v="4"/>
          </reference>
        </references>
      </pivotArea>
    </format>
    <format dxfId="224">
      <pivotArea dataOnly="0" labelOnly="1" outline="0" fieldPosition="0">
        <references count="1">
          <reference field="1" count="1" defaultSubtotal="1">
            <x v="4"/>
          </reference>
        </references>
      </pivotArea>
    </format>
    <format dxfId="223">
      <pivotArea dataOnly="0" labelOnly="1" outline="0" fieldPosition="0">
        <references count="1">
          <reference field="1" count="1">
            <x v="5"/>
          </reference>
        </references>
      </pivotArea>
    </format>
    <format dxfId="222">
      <pivotArea dataOnly="0" labelOnly="1" outline="0" fieldPosition="0">
        <references count="1">
          <reference field="1" count="1" defaultSubtotal="1">
            <x v="5"/>
          </reference>
        </references>
      </pivotArea>
    </format>
    <format dxfId="221">
      <pivotArea dataOnly="0" labelOnly="1" outline="0" fieldPosition="0">
        <references count="1">
          <reference field="1" count="1">
            <x v="6"/>
          </reference>
        </references>
      </pivotArea>
    </format>
    <format dxfId="220">
      <pivotArea dataOnly="0" labelOnly="1" outline="0" fieldPosition="0">
        <references count="1">
          <reference field="1" count="1" defaultSubtotal="1">
            <x v="6"/>
          </reference>
        </references>
      </pivotArea>
    </format>
    <format dxfId="219">
      <pivotArea dataOnly="0" labelOnly="1" grandRow="1" outline="0" fieldPosition="0"/>
    </format>
    <format dxfId="218">
      <pivotArea outline="0" fieldPosition="0">
        <references count="7">
          <reference field="0" count="4" selected="0">
            <x v="119"/>
            <x v="121"/>
            <x v="132"/>
            <x v="135"/>
          </reference>
          <reference field="1" count="1" selected="0">
            <x v="0"/>
          </reference>
          <reference field="3" count="4" selected="0">
            <x v="239"/>
            <x v="240"/>
            <x v="241"/>
            <x v="245"/>
          </reference>
          <reference field="4" count="4" selected="0">
            <x v="4"/>
            <x v="149"/>
            <x v="150"/>
            <x v="158"/>
          </reference>
          <reference field="7" count="2" selected="0">
            <x v="2"/>
            <x v="5"/>
          </reference>
          <reference field="8" count="3" selected="0">
            <x v="2"/>
            <x v="7"/>
            <x v="8"/>
          </reference>
          <reference field="20" count="1" selected="0">
            <x v="2"/>
          </reference>
        </references>
      </pivotArea>
    </format>
    <format dxfId="217">
      <pivotArea dataOnly="0" labelOnly="1" outline="0" fieldPosition="0">
        <references count="2">
          <reference field="1" count="1" selected="0">
            <x v="0"/>
          </reference>
          <reference field="20" count="1">
            <x v="2"/>
          </reference>
        </references>
      </pivotArea>
    </format>
    <format dxfId="216">
      <pivotArea dataOnly="0" labelOnly="1" outline="0" fieldPosition="0">
        <references count="3">
          <reference field="1" count="1" selected="0">
            <x v="0"/>
          </reference>
          <reference field="7" count="2">
            <x v="2"/>
            <x v="5"/>
          </reference>
          <reference field="20" count="1" selected="0">
            <x v="2"/>
          </reference>
        </references>
      </pivotArea>
    </format>
    <format dxfId="215">
      <pivotArea dataOnly="0" labelOnly="1" outline="0" fieldPosition="0">
        <references count="4">
          <reference field="1" count="1" selected="0">
            <x v="0"/>
          </reference>
          <reference field="7" count="1" selected="0">
            <x v="2"/>
          </reference>
          <reference field="8" count="1">
            <x v="7"/>
          </reference>
          <reference field="20" count="1" selected="0">
            <x v="2"/>
          </reference>
        </references>
      </pivotArea>
    </format>
    <format dxfId="214">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213">
      <pivotArea dataOnly="0" labelOnly="1" outline="0" fieldPosition="0">
        <references count="5">
          <reference field="0" count="2">
            <x v="119"/>
            <x v="132"/>
          </reference>
          <reference field="1" count="1" selected="0">
            <x v="0"/>
          </reference>
          <reference field="7" count="1" selected="0">
            <x v="2"/>
          </reference>
          <reference field="8" count="1" selected="0">
            <x v="7"/>
          </reference>
          <reference field="20" count="1" selected="0">
            <x v="2"/>
          </reference>
        </references>
      </pivotArea>
    </format>
    <format dxfId="212">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211">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210">
      <pivotArea dataOnly="0" labelOnly="1" outline="0" fieldPosition="0">
        <references count="6">
          <reference field="0" count="1" selected="0">
            <x v="119"/>
          </reference>
          <reference field="1" count="1" selected="0">
            <x v="0"/>
          </reference>
          <reference field="3" count="1">
            <x v="239"/>
          </reference>
          <reference field="7" count="1" selected="0">
            <x v="2"/>
          </reference>
          <reference field="8" count="1" selected="0">
            <x v="7"/>
          </reference>
          <reference field="20" count="1" selected="0">
            <x v="2"/>
          </reference>
        </references>
      </pivotArea>
    </format>
    <format dxfId="209">
      <pivotArea dataOnly="0" labelOnly="1" outline="0" fieldPosition="0">
        <references count="6">
          <reference field="0" count="1" selected="0">
            <x v="132"/>
          </reference>
          <reference field="1" count="1" selected="0">
            <x v="0"/>
          </reference>
          <reference field="3" count="1">
            <x v="245"/>
          </reference>
          <reference field="7" count="1" selected="0">
            <x v="2"/>
          </reference>
          <reference field="8" count="1" selected="0">
            <x v="7"/>
          </reference>
          <reference field="20" count="1" selected="0">
            <x v="2"/>
          </reference>
        </references>
      </pivotArea>
    </format>
    <format dxfId="208">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207">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206">
      <pivotArea dataOnly="0" labelOnly="1" outline="0" fieldPosition="0">
        <references count="7">
          <reference field="0" count="1" selected="0">
            <x v="119"/>
          </reference>
          <reference field="1" count="1" selected="0">
            <x v="0"/>
          </reference>
          <reference field="3" count="1" selected="0">
            <x v="239"/>
          </reference>
          <reference field="4" count="1">
            <x v="4"/>
          </reference>
          <reference field="7" count="1" selected="0">
            <x v="2"/>
          </reference>
          <reference field="8" count="1" selected="0">
            <x v="7"/>
          </reference>
          <reference field="20" count="1" selected="0">
            <x v="2"/>
          </reference>
        </references>
      </pivotArea>
    </format>
    <format dxfId="205">
      <pivotArea dataOnly="0" labelOnly="1" outline="0" fieldPosition="0">
        <references count="7">
          <reference field="0" count="1" selected="0">
            <x v="132"/>
          </reference>
          <reference field="1" count="1" selected="0">
            <x v="0"/>
          </reference>
          <reference field="3" count="1" selected="0">
            <x v="245"/>
          </reference>
          <reference field="4" count="1">
            <x v="158"/>
          </reference>
          <reference field="7" count="1" selected="0">
            <x v="2"/>
          </reference>
          <reference field="8" count="1" selected="0">
            <x v="7"/>
          </reference>
          <reference field="20" count="1" selected="0">
            <x v="2"/>
          </reference>
        </references>
      </pivotArea>
    </format>
    <format dxfId="204">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203">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202">
      <pivotArea outline="0" fieldPosition="0">
        <references count="7">
          <reference field="0" count="10" selected="0">
            <x v="51"/>
            <x v="56"/>
            <x v="57"/>
            <x v="138"/>
            <x v="139"/>
            <x v="144"/>
            <x v="145"/>
            <x v="153"/>
            <x v="156"/>
            <x v="191"/>
          </reference>
          <reference field="1" count="1" selected="0">
            <x v="1"/>
          </reference>
          <reference field="3" count="10" selected="0">
            <x v="12"/>
            <x v="13"/>
            <x v="156"/>
            <x v="157"/>
            <x v="164"/>
            <x v="167"/>
            <x v="243"/>
            <x v="246"/>
            <x v="248"/>
            <x v="250"/>
          </reference>
          <reference field="4" count="10" selected="0">
            <x v="5"/>
            <x v="12"/>
            <x v="17"/>
            <x v="22"/>
            <x v="80"/>
            <x v="87"/>
            <x v="155"/>
            <x v="157"/>
            <x v="159"/>
            <x v="162"/>
          </reference>
          <reference field="7" count="4" selected="0">
            <x v="0"/>
            <x v="2"/>
            <x v="4"/>
            <x v="8"/>
          </reference>
          <reference field="8" count="3" selected="0">
            <x v="0"/>
            <x v="7"/>
            <x v="8"/>
          </reference>
          <reference field="20" count="0" selected="0"/>
        </references>
      </pivotArea>
    </format>
    <format dxfId="201">
      <pivotArea dataOnly="0" labelOnly="1" outline="0" fieldPosition="0">
        <references count="2">
          <reference field="1" count="1" selected="0">
            <x v="1"/>
          </reference>
          <reference field="20" count="0"/>
        </references>
      </pivotArea>
    </format>
    <format dxfId="200">
      <pivotArea dataOnly="0" labelOnly="1" outline="0" fieldPosition="0">
        <references count="3">
          <reference field="1" count="1" selected="0">
            <x v="1"/>
          </reference>
          <reference field="7" count="3">
            <x v="0"/>
            <x v="4"/>
            <x v="8"/>
          </reference>
          <reference field="20" count="1" selected="0">
            <x v="1"/>
          </reference>
        </references>
      </pivotArea>
    </format>
    <format dxfId="199">
      <pivotArea dataOnly="0" labelOnly="1" outline="0" fieldPosition="0">
        <references count="3">
          <reference field="1" count="1" selected="0">
            <x v="1"/>
          </reference>
          <reference field="7" count="3">
            <x v="0"/>
            <x v="2"/>
            <x v="4"/>
          </reference>
          <reference field="20" count="1" selected="0">
            <x v="2"/>
          </reference>
        </references>
      </pivotArea>
    </format>
    <format dxfId="198">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197">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196">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195">
      <pivotArea dataOnly="0" labelOnly="1" outline="0" fieldPosition="0">
        <references count="4">
          <reference field="1" count="1" selected="0">
            <x v="1"/>
          </reference>
          <reference field="7" count="1" selected="0">
            <x v="2"/>
          </reference>
          <reference field="8" count="2">
            <x v="7"/>
            <x v="8"/>
          </reference>
          <reference field="20" count="1" selected="0">
            <x v="2"/>
          </reference>
        </references>
      </pivotArea>
    </format>
    <format dxfId="194">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193">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192">
      <pivotArea dataOnly="0" labelOnly="1" outline="0" fieldPosition="0">
        <references count="5">
          <reference field="0" count="1">
            <x v="57"/>
          </reference>
          <reference field="1" count="1" selected="0">
            <x v="1"/>
          </reference>
          <reference field="7" count="1" selected="0">
            <x v="8"/>
          </reference>
          <reference field="8" count="1" selected="0">
            <x v="0"/>
          </reference>
          <reference field="20" count="1" selected="0">
            <x v="1"/>
          </reference>
        </references>
      </pivotArea>
    </format>
    <format dxfId="191">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190">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189">
      <pivotArea dataOnly="0" labelOnly="1" outline="0" fieldPosition="0">
        <references count="5">
          <reference field="0" count="2">
            <x v="51"/>
            <x v="138"/>
          </reference>
          <reference field="1" count="1" selected="0">
            <x v="1"/>
          </reference>
          <reference field="7" count="1" selected="0">
            <x v="2"/>
          </reference>
          <reference field="8" count="1" selected="0">
            <x v="7"/>
          </reference>
          <reference field="20" count="1" selected="0">
            <x v="2"/>
          </reference>
        </references>
      </pivotArea>
    </format>
    <format dxfId="188">
      <pivotArea dataOnly="0" labelOnly="1" outline="0" fieldPosition="0">
        <references count="5">
          <reference field="0" count="1">
            <x v="145"/>
          </reference>
          <reference field="1" count="1" selected="0">
            <x v="1"/>
          </reference>
          <reference field="7" count="1" selected="0">
            <x v="2"/>
          </reference>
          <reference field="8" count="1" selected="0">
            <x v="8"/>
          </reference>
          <reference field="20" count="1" selected="0">
            <x v="2"/>
          </reference>
        </references>
      </pivotArea>
    </format>
    <format dxfId="187">
      <pivotArea dataOnly="0" labelOnly="1" outline="0" fieldPosition="0">
        <references count="5">
          <reference field="0" count="2">
            <x v="139"/>
            <x v="153"/>
          </reference>
          <reference field="1" count="1" selected="0">
            <x v="1"/>
          </reference>
          <reference field="7" count="1" selected="0">
            <x v="4"/>
          </reference>
          <reference field="8" count="1" selected="0">
            <x v="8"/>
          </reference>
          <reference field="20" count="1" selected="0">
            <x v="2"/>
          </reference>
        </references>
      </pivotArea>
    </format>
    <format dxfId="186">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185">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184">
      <pivotArea dataOnly="0" labelOnly="1" outline="0" fieldPosition="0">
        <references count="6">
          <reference field="0" count="1" selected="0">
            <x v="57"/>
          </reference>
          <reference field="1" count="1" selected="0">
            <x v="1"/>
          </reference>
          <reference field="3" count="1">
            <x v="13"/>
          </reference>
          <reference field="7" count="1" selected="0">
            <x v="8"/>
          </reference>
          <reference field="8" count="1" selected="0">
            <x v="0"/>
          </reference>
          <reference field="20" count="1" selected="0">
            <x v="1"/>
          </reference>
        </references>
      </pivotArea>
    </format>
    <format dxfId="183">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182">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181">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180">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2"/>
          </reference>
        </references>
      </pivotArea>
    </format>
    <format dxfId="179">
      <pivotArea dataOnly="0" labelOnly="1" outline="0" fieldPosition="0">
        <references count="6">
          <reference field="0" count="1" selected="0">
            <x v="145"/>
          </reference>
          <reference field="1" count="1" selected="0">
            <x v="1"/>
          </reference>
          <reference field="3" count="1">
            <x v="157"/>
          </reference>
          <reference field="7" count="1" selected="0">
            <x v="2"/>
          </reference>
          <reference field="8" count="1" selected="0">
            <x v="8"/>
          </reference>
          <reference field="20" count="1" selected="0">
            <x v="2"/>
          </reference>
        </references>
      </pivotArea>
    </format>
    <format dxfId="178">
      <pivotArea dataOnly="0" labelOnly="1" outline="0" fieldPosition="0">
        <references count="6">
          <reference field="0" count="1" selected="0">
            <x v="139"/>
          </reference>
          <reference field="1" count="1" selected="0">
            <x v="1"/>
          </reference>
          <reference field="3" count="1">
            <x v="248"/>
          </reference>
          <reference field="7" count="1" selected="0">
            <x v="4"/>
          </reference>
          <reference field="8" count="1" selected="0">
            <x v="8"/>
          </reference>
          <reference field="20" count="1" selected="0">
            <x v="2"/>
          </reference>
        </references>
      </pivotArea>
    </format>
    <format dxfId="177">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176">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175">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174">
      <pivotArea dataOnly="0" labelOnly="1" outline="0" fieldPosition="0">
        <references count="7">
          <reference field="0" count="1" selected="0">
            <x v="57"/>
          </reference>
          <reference field="1" count="1" selected="0">
            <x v="1"/>
          </reference>
          <reference field="3" count="1" selected="0">
            <x v="13"/>
          </reference>
          <reference field="4" count="1">
            <x v="157"/>
          </reference>
          <reference field="7" count="1" selected="0">
            <x v="8"/>
          </reference>
          <reference field="8" count="1" selected="0">
            <x v="0"/>
          </reference>
          <reference field="20" count="1" selected="0">
            <x v="1"/>
          </reference>
        </references>
      </pivotArea>
    </format>
    <format dxfId="173">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172">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171">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170">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2"/>
          </reference>
        </references>
      </pivotArea>
    </format>
    <format dxfId="169">
      <pivotArea dataOnly="0" labelOnly="1" outline="0" fieldPosition="0">
        <references count="7">
          <reference field="0" count="1" selected="0">
            <x v="145"/>
          </reference>
          <reference field="1" count="1" selected="0">
            <x v="1"/>
          </reference>
          <reference field="3" count="1" selected="0">
            <x v="157"/>
          </reference>
          <reference field="4" count="1">
            <x v="80"/>
          </reference>
          <reference field="7" count="1" selected="0">
            <x v="2"/>
          </reference>
          <reference field="8" count="1" selected="0">
            <x v="8"/>
          </reference>
          <reference field="20" count="1" selected="0">
            <x v="2"/>
          </reference>
        </references>
      </pivotArea>
    </format>
    <format dxfId="168">
      <pivotArea dataOnly="0" labelOnly="1" outline="0" fieldPosition="0">
        <references count="7">
          <reference field="0" count="1" selected="0">
            <x v="139"/>
          </reference>
          <reference field="1" count="1" selected="0">
            <x v="1"/>
          </reference>
          <reference field="3" count="1" selected="0">
            <x v="248"/>
          </reference>
          <reference field="4" count="1">
            <x v="159"/>
          </reference>
          <reference field="7" count="1" selected="0">
            <x v="4"/>
          </reference>
          <reference field="8" count="1" selected="0">
            <x v="8"/>
          </reference>
          <reference field="20" count="1" selected="0">
            <x v="2"/>
          </reference>
        </references>
      </pivotArea>
    </format>
    <format dxfId="167">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166">
      <pivotArea outline="0" fieldPosition="0">
        <references count="7">
          <reference field="0" count="3" selected="0">
            <x v="12"/>
            <x v="107"/>
            <x v="113"/>
          </reference>
          <reference field="1" count="1" selected="0">
            <x v="4"/>
          </reference>
          <reference field="3" count="3" selected="0">
            <x v="116"/>
            <x v="232"/>
            <x v="234"/>
          </reference>
          <reference field="4" count="3" selected="0">
            <x v="58"/>
            <x v="61"/>
            <x v="139"/>
          </reference>
          <reference field="7" count="2" selected="0">
            <x v="1"/>
            <x v="2"/>
          </reference>
          <reference field="8" count="3" selected="0">
            <x v="1"/>
            <x v="3"/>
            <x v="7"/>
          </reference>
          <reference field="20" count="0" selected="0"/>
        </references>
      </pivotArea>
    </format>
    <format dxfId="165">
      <pivotArea dataOnly="0" labelOnly="1" outline="0" fieldPosition="0">
        <references count="2">
          <reference field="1" count="1" selected="0">
            <x v="4"/>
          </reference>
          <reference field="20" count="0"/>
        </references>
      </pivotArea>
    </format>
    <format dxfId="164">
      <pivotArea dataOnly="0" labelOnly="1" outline="0" fieldPosition="0">
        <references count="3">
          <reference field="1" count="1" selected="0">
            <x v="4"/>
          </reference>
          <reference field="7" count="1">
            <x v="1"/>
          </reference>
          <reference field="20" count="1" selected="0">
            <x v="1"/>
          </reference>
        </references>
      </pivotArea>
    </format>
    <format dxfId="163">
      <pivotArea dataOnly="0" labelOnly="1" outline="0" fieldPosition="0">
        <references count="3">
          <reference field="1" count="1" selected="0">
            <x v="4"/>
          </reference>
          <reference field="7" count="1">
            <x v="2"/>
          </reference>
          <reference field="20" count="1" selected="0">
            <x v="2"/>
          </reference>
        </references>
      </pivotArea>
    </format>
    <format dxfId="162">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161">
      <pivotArea dataOnly="0" labelOnly="1" outline="0" fieldPosition="0">
        <references count="4">
          <reference field="1" count="1" selected="0">
            <x v="4"/>
          </reference>
          <reference field="7" count="1" selected="0">
            <x v="2"/>
          </reference>
          <reference field="8" count="2">
            <x v="3"/>
            <x v="7"/>
          </reference>
          <reference field="20" count="1" selected="0">
            <x v="2"/>
          </reference>
        </references>
      </pivotArea>
    </format>
    <format dxfId="160">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159">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158">
      <pivotArea dataOnly="0" labelOnly="1" outline="0" fieldPosition="0">
        <references count="5">
          <reference field="0" count="1">
            <x v="107"/>
          </reference>
          <reference field="1" count="1" selected="0">
            <x v="4"/>
          </reference>
          <reference field="7" count="1" selected="0">
            <x v="2"/>
          </reference>
          <reference field="8" count="1" selected="0">
            <x v="7"/>
          </reference>
          <reference field="20" count="1" selected="0">
            <x v="2"/>
          </reference>
        </references>
      </pivotArea>
    </format>
    <format dxfId="157">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156">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155">
      <pivotArea dataOnly="0" labelOnly="1" outline="0" fieldPosition="0">
        <references count="6">
          <reference field="0" count="1" selected="0">
            <x v="107"/>
          </reference>
          <reference field="1" count="1" selected="0">
            <x v="4"/>
          </reference>
          <reference field="3" count="1">
            <x v="234"/>
          </reference>
          <reference field="7" count="1" selected="0">
            <x v="2"/>
          </reference>
          <reference field="8" count="1" selected="0">
            <x v="7"/>
          </reference>
          <reference field="20" count="1" selected="0">
            <x v="2"/>
          </reference>
        </references>
      </pivotArea>
    </format>
    <format dxfId="154">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153">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152">
      <pivotArea dataOnly="0" labelOnly="1" outline="0" fieldPosition="0">
        <references count="7">
          <reference field="0" count="1" selected="0">
            <x v="107"/>
          </reference>
          <reference field="1" count="1" selected="0">
            <x v="4"/>
          </reference>
          <reference field="3" count="1" selected="0">
            <x v="234"/>
          </reference>
          <reference field="4" count="1">
            <x v="139"/>
          </reference>
          <reference field="7" count="1" selected="0">
            <x v="2"/>
          </reference>
          <reference field="8" count="1" selected="0">
            <x v="7"/>
          </reference>
          <reference field="20" count="1" selected="0">
            <x v="2"/>
          </reference>
        </references>
      </pivotArea>
    </format>
    <format dxfId="151">
      <pivotArea outline="0" fieldPosition="0">
        <references count="7">
          <reference field="0" count="4" selected="0">
            <x v="67"/>
            <x v="68"/>
            <x v="101"/>
            <x v="104"/>
          </reference>
          <reference field="1" count="1" selected="0">
            <x v="5"/>
          </reference>
          <reference field="3" count="4" selected="0">
            <x v="3"/>
            <x v="66"/>
            <x v="115"/>
            <x v="230"/>
          </reference>
          <reference field="4" count="4" selected="0">
            <x v="8"/>
            <x v="20"/>
            <x v="57"/>
            <x v="135"/>
          </reference>
          <reference field="7" count="2" selected="0">
            <x v="2"/>
            <x v="3"/>
          </reference>
          <reference field="8" count="2" selected="0">
            <x v="7"/>
            <x v="8"/>
          </reference>
          <reference field="20" count="0" selected="0"/>
        </references>
      </pivotArea>
    </format>
    <format dxfId="150">
      <pivotArea dataOnly="0" labelOnly="1" outline="0" fieldPosition="0">
        <references count="2">
          <reference field="1" count="1" selected="0">
            <x v="5"/>
          </reference>
          <reference field="20" count="0"/>
        </references>
      </pivotArea>
    </format>
    <format dxfId="149">
      <pivotArea dataOnly="0" labelOnly="1" outline="0" fieldPosition="0">
        <references count="3">
          <reference field="1" count="1" selected="0">
            <x v="5"/>
          </reference>
          <reference field="7" count="2">
            <x v="2"/>
            <x v="3"/>
          </reference>
          <reference field="20" count="1" selected="0">
            <x v="1"/>
          </reference>
        </references>
      </pivotArea>
    </format>
    <format dxfId="148">
      <pivotArea dataOnly="0" labelOnly="1" outline="0" fieldPosition="0">
        <references count="3">
          <reference field="1" count="1" selected="0">
            <x v="5"/>
          </reference>
          <reference field="7" count="1">
            <x v="2"/>
          </reference>
          <reference field="20" count="1" selected="0">
            <x v="2"/>
          </reference>
        </references>
      </pivotArea>
    </format>
    <format dxfId="147">
      <pivotArea dataOnly="0" labelOnly="1" outline="0" fieldPosition="0">
        <references count="4">
          <reference field="1" count="1" selected="0">
            <x v="5"/>
          </reference>
          <reference field="7" count="1" selected="0">
            <x v="2"/>
          </reference>
          <reference field="8" count="1">
            <x v="7"/>
          </reference>
          <reference field="20" count="1" selected="0">
            <x v="1"/>
          </reference>
        </references>
      </pivotArea>
    </format>
    <format dxfId="146">
      <pivotArea dataOnly="0" labelOnly="1" outline="0" fieldPosition="0">
        <references count="4">
          <reference field="1" count="1" selected="0">
            <x v="5"/>
          </reference>
          <reference field="7" count="1" selected="0">
            <x v="3"/>
          </reference>
          <reference field="8" count="1">
            <x v="8"/>
          </reference>
          <reference field="20" count="1" selected="0">
            <x v="1"/>
          </reference>
        </references>
      </pivotArea>
    </format>
    <format dxfId="145">
      <pivotArea dataOnly="0" labelOnly="1" outline="0" fieldPosition="0">
        <references count="4">
          <reference field="1" count="1" selected="0">
            <x v="5"/>
          </reference>
          <reference field="7" count="1" selected="0">
            <x v="2"/>
          </reference>
          <reference field="8" count="1">
            <x v="7"/>
          </reference>
          <reference field="20" count="1" selected="0">
            <x v="2"/>
          </reference>
        </references>
      </pivotArea>
    </format>
    <format dxfId="144">
      <pivotArea dataOnly="0" labelOnly="1" outline="0" fieldPosition="0">
        <references count="5">
          <reference field="0" count="1">
            <x v="101"/>
          </reference>
          <reference field="1" count="1" selected="0">
            <x v="5"/>
          </reference>
          <reference field="7" count="1" selected="0">
            <x v="2"/>
          </reference>
          <reference field="8" count="1" selected="0">
            <x v="7"/>
          </reference>
          <reference field="20" count="1" selected="0">
            <x v="1"/>
          </reference>
        </references>
      </pivotArea>
    </format>
    <format dxfId="143">
      <pivotArea dataOnly="0" labelOnly="1" outline="0" fieldPosition="0">
        <references count="5">
          <reference field="0" count="1">
            <x v="104"/>
          </reference>
          <reference field="1" count="1" selected="0">
            <x v="5"/>
          </reference>
          <reference field="7" count="1" selected="0">
            <x v="3"/>
          </reference>
          <reference field="8" count="1" selected="0">
            <x v="8"/>
          </reference>
          <reference field="20" count="1" selected="0">
            <x v="1"/>
          </reference>
        </references>
      </pivotArea>
    </format>
    <format dxfId="142">
      <pivotArea dataOnly="0" labelOnly="1" outline="0" fieldPosition="0">
        <references count="5">
          <reference field="0" count="2">
            <x v="67"/>
            <x v="68"/>
          </reference>
          <reference field="1" count="1" selected="0">
            <x v="5"/>
          </reference>
          <reference field="7" count="1" selected="0">
            <x v="2"/>
          </reference>
          <reference field="8" count="1" selected="0">
            <x v="7"/>
          </reference>
          <reference field="20" count="1" selected="0">
            <x v="2"/>
          </reference>
        </references>
      </pivotArea>
    </format>
    <format dxfId="141">
      <pivotArea dataOnly="0" labelOnly="1" outline="0" fieldPosition="0">
        <references count="6">
          <reference field="0" count="1" selected="0">
            <x v="101"/>
          </reference>
          <reference field="1" count="1" selected="0">
            <x v="5"/>
          </reference>
          <reference field="3" count="1">
            <x v="66"/>
          </reference>
          <reference field="7" count="1" selected="0">
            <x v="2"/>
          </reference>
          <reference field="8" count="1" selected="0">
            <x v="7"/>
          </reference>
          <reference field="20" count="1" selected="0">
            <x v="1"/>
          </reference>
        </references>
      </pivotArea>
    </format>
    <format dxfId="140">
      <pivotArea dataOnly="0" labelOnly="1" outline="0" fieldPosition="0">
        <references count="6">
          <reference field="0" count="1" selected="0">
            <x v="104"/>
          </reference>
          <reference field="1" count="1" selected="0">
            <x v="5"/>
          </reference>
          <reference field="3" count="1">
            <x v="115"/>
          </reference>
          <reference field="7" count="1" selected="0">
            <x v="3"/>
          </reference>
          <reference field="8" count="1" selected="0">
            <x v="8"/>
          </reference>
          <reference field="20" count="1" selected="0">
            <x v="1"/>
          </reference>
        </references>
      </pivotArea>
    </format>
    <format dxfId="139">
      <pivotArea dataOnly="0" labelOnly="1" outline="0" fieldPosition="0">
        <references count="6">
          <reference field="0" count="1" selected="0">
            <x v="67"/>
          </reference>
          <reference field="1" count="1" selected="0">
            <x v="5"/>
          </reference>
          <reference field="3" count="1">
            <x v="3"/>
          </reference>
          <reference field="7" count="1" selected="0">
            <x v="2"/>
          </reference>
          <reference field="8" count="1" selected="0">
            <x v="7"/>
          </reference>
          <reference field="20" count="1" selected="0">
            <x v="2"/>
          </reference>
        </references>
      </pivotArea>
    </format>
    <format dxfId="138">
      <pivotArea dataOnly="0" labelOnly="1" outline="0" fieldPosition="0">
        <references count="6">
          <reference field="0" count="1" selected="0">
            <x v="68"/>
          </reference>
          <reference field="1" count="1" selected="0">
            <x v="5"/>
          </reference>
          <reference field="3" count="1">
            <x v="230"/>
          </reference>
          <reference field="7" count="1" selected="0">
            <x v="2"/>
          </reference>
          <reference field="8" count="1" selected="0">
            <x v="7"/>
          </reference>
          <reference field="20" count="1" selected="0">
            <x v="2"/>
          </reference>
        </references>
      </pivotArea>
    </format>
    <format dxfId="137">
      <pivotArea dataOnly="0" labelOnly="1" outline="0" fieldPosition="0">
        <references count="7">
          <reference field="0" count="1" selected="0">
            <x v="101"/>
          </reference>
          <reference field="1" count="1" selected="0">
            <x v="5"/>
          </reference>
          <reference field="3" count="1" selected="0">
            <x v="66"/>
          </reference>
          <reference field="4" count="1">
            <x v="20"/>
          </reference>
          <reference field="7" count="1" selected="0">
            <x v="2"/>
          </reference>
          <reference field="8" count="1" selected="0">
            <x v="7"/>
          </reference>
          <reference field="20" count="1" selected="0">
            <x v="1"/>
          </reference>
        </references>
      </pivotArea>
    </format>
    <format dxfId="136">
      <pivotArea dataOnly="0" labelOnly="1" outline="0" fieldPosition="0">
        <references count="7">
          <reference field="0" count="1" selected="0">
            <x v="104"/>
          </reference>
          <reference field="1" count="1" selected="0">
            <x v="5"/>
          </reference>
          <reference field="3" count="1" selected="0">
            <x v="115"/>
          </reference>
          <reference field="4" count="1">
            <x v="57"/>
          </reference>
          <reference field="7" count="1" selected="0">
            <x v="3"/>
          </reference>
          <reference field="8" count="1" selected="0">
            <x v="8"/>
          </reference>
          <reference field="20" count="1" selected="0">
            <x v="1"/>
          </reference>
        </references>
      </pivotArea>
    </format>
    <format dxfId="135">
      <pivotArea dataOnly="0" labelOnly="1" outline="0" fieldPosition="0">
        <references count="7">
          <reference field="0" count="1" selected="0">
            <x v="67"/>
          </reference>
          <reference field="1" count="1" selected="0">
            <x v="5"/>
          </reference>
          <reference field="3" count="1" selected="0">
            <x v="3"/>
          </reference>
          <reference field="4" count="1">
            <x v="8"/>
          </reference>
          <reference field="7" count="1" selected="0">
            <x v="2"/>
          </reference>
          <reference field="8" count="1" selected="0">
            <x v="7"/>
          </reference>
          <reference field="20" count="1" selected="0">
            <x v="2"/>
          </reference>
        </references>
      </pivotArea>
    </format>
    <format dxfId="134">
      <pivotArea dataOnly="0" labelOnly="1" outline="0" fieldPosition="0">
        <references count="7">
          <reference field="0" count="1" selected="0">
            <x v="68"/>
          </reference>
          <reference field="1" count="1" selected="0">
            <x v="5"/>
          </reference>
          <reference field="3" count="1" selected="0">
            <x v="230"/>
          </reference>
          <reference field="4" count="1">
            <x v="135"/>
          </reference>
          <reference field="7" count="1" selected="0">
            <x v="2"/>
          </reference>
          <reference field="8" count="1" selected="0">
            <x v="7"/>
          </reference>
          <reference field="20" count="1" selected="0">
            <x v="2"/>
          </reference>
        </references>
      </pivotArea>
    </format>
    <format dxfId="133">
      <pivotArea outline="0" fieldPosition="0">
        <references count="7">
          <reference field="0" count="5" selected="0">
            <x v="163"/>
            <x v="167"/>
            <x v="178"/>
            <x v="181"/>
            <x v="194"/>
          </reference>
          <reference field="1" count="1" selected="0">
            <x v="6"/>
          </reference>
          <reference field="3" count="5" selected="0">
            <x v="175"/>
            <x v="190"/>
            <x v="193"/>
            <x v="247"/>
            <x v="253"/>
          </reference>
          <reference field="4" count="4" selected="0">
            <x v="3"/>
            <x v="96"/>
            <x v="112"/>
            <x v="170"/>
          </reference>
          <reference field="7" count="3" selected="0">
            <x v="0"/>
            <x v="2"/>
            <x v="4"/>
          </reference>
          <reference field="8" count="2" selected="0">
            <x v="0"/>
            <x v="8"/>
          </reference>
          <reference field="20" count="0" selected="0"/>
        </references>
      </pivotArea>
    </format>
    <format dxfId="132">
      <pivotArea dataOnly="0" labelOnly="1" outline="0" fieldPosition="0">
        <references count="2">
          <reference field="1" count="1" selected="0">
            <x v="6"/>
          </reference>
          <reference field="20" count="0"/>
        </references>
      </pivotArea>
    </format>
    <format dxfId="131">
      <pivotArea dataOnly="0" labelOnly="1" outline="0" fieldPosition="0">
        <references count="3">
          <reference field="1" count="1" selected="0">
            <x v="6"/>
          </reference>
          <reference field="7" count="1">
            <x v="0"/>
          </reference>
          <reference field="20" count="1" selected="0">
            <x v="1"/>
          </reference>
        </references>
      </pivotArea>
    </format>
    <format dxfId="130">
      <pivotArea dataOnly="0" labelOnly="1" outline="0" fieldPosition="0">
        <references count="3">
          <reference field="1" count="1" selected="0">
            <x v="6"/>
          </reference>
          <reference field="7" count="2">
            <x v="2"/>
            <x v="4"/>
          </reference>
          <reference field="20" count="1" selected="0">
            <x v="2"/>
          </reference>
        </references>
      </pivotArea>
    </format>
    <format dxfId="129">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128">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127">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126">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125">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124">
      <pivotArea dataOnly="0" labelOnly="1" outline="0" fieldPosition="0">
        <references count="5">
          <reference field="0" count="3">
            <x v="178"/>
            <x v="181"/>
            <x v="194"/>
          </reference>
          <reference field="1" count="1" selected="0">
            <x v="6"/>
          </reference>
          <reference field="7" count="1" selected="0">
            <x v="4"/>
          </reference>
          <reference field="8" count="1" selected="0">
            <x v="0"/>
          </reference>
          <reference field="20" count="1" selected="0">
            <x v="2"/>
          </reference>
        </references>
      </pivotArea>
    </format>
    <format dxfId="123">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122">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121">
      <pivotArea dataOnly="0" labelOnly="1" outline="0" fieldPosition="0">
        <references count="6">
          <reference field="0" count="1" selected="0">
            <x v="178"/>
          </reference>
          <reference field="1" count="1" selected="0">
            <x v="6"/>
          </reference>
          <reference field="3" count="1">
            <x v="190"/>
          </reference>
          <reference field="7" count="1" selected="0">
            <x v="4"/>
          </reference>
          <reference field="8" count="1" selected="0">
            <x v="0"/>
          </reference>
          <reference field="20" count="1" selected="0">
            <x v="2"/>
          </reference>
        </references>
      </pivotArea>
    </format>
    <format dxfId="120">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119">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118">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117">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116">
      <pivotArea dataOnly="0" labelOnly="1" outline="0" fieldPosition="0">
        <references count="7">
          <reference field="0" count="1" selected="0">
            <x v="178"/>
          </reference>
          <reference field="1" count="1" selected="0">
            <x v="6"/>
          </reference>
          <reference field="3" count="1" selected="0">
            <x v="190"/>
          </reference>
          <reference field="4" count="1">
            <x v="3"/>
          </reference>
          <reference field="7" count="1" selected="0">
            <x v="4"/>
          </reference>
          <reference field="8" count="1" selected="0">
            <x v="0"/>
          </reference>
          <reference field="20" count="1" selected="0">
            <x v="2"/>
          </reference>
        </references>
      </pivotArea>
    </format>
    <format dxfId="115">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114">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113">
      <pivotArea dataOnly="0" labelOnly="1" outline="0" offset="IV1" fieldPosition="0">
        <references count="4">
          <reference field="1" count="1" selected="0">
            <x v="1"/>
          </reference>
          <reference field="7" count="1" selected="0">
            <x v="4"/>
          </reference>
          <reference field="8" count="1">
            <x v="8"/>
          </reference>
          <reference field="20" count="1" selected="0">
            <x v="2"/>
          </reference>
        </references>
      </pivotArea>
    </format>
    <format dxfId="112">
      <pivotArea dataOnly="0" labelOnly="1" outline="0" offset="IV256" fieldPosition="0">
        <references count="4">
          <reference field="1" count="1" selected="0">
            <x v="1"/>
          </reference>
          <reference field="7" count="1" selected="0">
            <x v="4"/>
          </reference>
          <reference field="8" count="1">
            <x v="8"/>
          </reference>
          <reference field="20" count="1" selected="0">
            <x v="2"/>
          </reference>
        </references>
      </pivotArea>
    </format>
    <format dxfId="111">
      <pivotArea outline="0" collapsedLevelsAreSubtotals="1" fieldPosition="0"/>
    </format>
    <format dxfId="110">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109">
      <pivotArea dataOnly="0" labelOnly="1" outline="0" fieldPosition="0">
        <references count="1">
          <reference field="6" count="0"/>
        </references>
      </pivotArea>
    </format>
    <format dxfId="108">
      <pivotArea type="all" dataOnly="0" outline="0" fieldPosition="0"/>
    </format>
    <format dxfId="107">
      <pivotArea outline="0" collapsedLevelsAreSubtotals="1" fieldPosition="0"/>
    </format>
    <format dxfId="106">
      <pivotArea type="origin" dataOnly="0" labelOnly="1" outline="0" fieldPosition="0"/>
    </format>
    <format dxfId="105">
      <pivotArea type="topRight" dataOnly="0" labelOnly="1" outline="0" fieldPosition="0"/>
    </format>
    <format dxfId="104">
      <pivotArea field="1" type="button" dataOnly="0" labelOnly="1" outline="0" axis="axisRow" fieldPosition="0"/>
    </format>
    <format dxfId="103">
      <pivotArea field="20" type="button" dataOnly="0" labelOnly="1" outline="0" axis="axisRow" fieldPosition="1"/>
    </format>
    <format dxfId="102">
      <pivotArea field="7" type="button" dataOnly="0" labelOnly="1" outline="0" axis="axisRow" fieldPosition="2"/>
    </format>
    <format dxfId="101">
      <pivotArea field="8" type="button" dataOnly="0" labelOnly="1" outline="0" axis="axisRow" fieldPosition="3"/>
    </format>
    <format dxfId="100">
      <pivotArea field="0" type="button" dataOnly="0" labelOnly="1" outline="0" axis="axisRow" fieldPosition="4"/>
    </format>
    <format dxfId="99">
      <pivotArea field="3" type="button" dataOnly="0" labelOnly="1" outline="0" axis="axisRow" fieldPosition="5"/>
    </format>
    <format dxfId="98">
      <pivotArea field="4" type="button" dataOnly="0" labelOnly="1" outline="0" axis="axisRow" fieldPosition="6"/>
    </format>
    <format dxfId="97">
      <pivotArea dataOnly="0" labelOnly="1" outline="0" fieldPosition="0">
        <references count="1">
          <reference field="1" count="4">
            <x v="0"/>
            <x v="1"/>
            <x v="4"/>
            <x v="6"/>
          </reference>
        </references>
      </pivotArea>
    </format>
    <format dxfId="96">
      <pivotArea dataOnly="0" labelOnly="1" outline="0" fieldPosition="0">
        <references count="1">
          <reference field="1" count="4" defaultSubtotal="1">
            <x v="0"/>
            <x v="1"/>
            <x v="4"/>
            <x v="6"/>
          </reference>
        </references>
      </pivotArea>
    </format>
    <format dxfId="95">
      <pivotArea dataOnly="0" labelOnly="1" grandRow="1" outline="0" fieldPosition="0"/>
    </format>
    <format dxfId="94">
      <pivotArea dataOnly="0" labelOnly="1" outline="0" fieldPosition="0">
        <references count="2">
          <reference field="1" count="1" selected="0">
            <x v="0"/>
          </reference>
          <reference field="20" count="1">
            <x v="2"/>
          </reference>
        </references>
      </pivotArea>
    </format>
    <format dxfId="93">
      <pivotArea dataOnly="0" labelOnly="1" outline="0" fieldPosition="0">
        <references count="2">
          <reference field="1" count="1" selected="0">
            <x v="1"/>
          </reference>
          <reference field="20" count="0"/>
        </references>
      </pivotArea>
    </format>
    <format dxfId="92">
      <pivotArea dataOnly="0" labelOnly="1" outline="0" fieldPosition="0">
        <references count="2">
          <reference field="1" count="1" selected="0">
            <x v="4"/>
          </reference>
          <reference field="20" count="0"/>
        </references>
      </pivotArea>
    </format>
    <format dxfId="91">
      <pivotArea dataOnly="0" labelOnly="1" outline="0" fieldPosition="0">
        <references count="2">
          <reference field="1" count="1" selected="0">
            <x v="6"/>
          </reference>
          <reference field="20" count="0"/>
        </references>
      </pivotArea>
    </format>
    <format dxfId="90">
      <pivotArea dataOnly="0" labelOnly="1" outline="0" fieldPosition="0">
        <references count="3">
          <reference field="1" count="1" selected="0">
            <x v="0"/>
          </reference>
          <reference field="7" count="1">
            <x v="5"/>
          </reference>
          <reference field="20" count="1" selected="0">
            <x v="2"/>
          </reference>
        </references>
      </pivotArea>
    </format>
    <format dxfId="89">
      <pivotArea dataOnly="0" labelOnly="1" outline="0" fieldPosition="0">
        <references count="3">
          <reference field="1" count="1" selected="0">
            <x v="1"/>
          </reference>
          <reference field="7" count="4">
            <x v="0"/>
            <x v="2"/>
            <x v="4"/>
            <x v="8"/>
          </reference>
          <reference field="20" count="1" selected="0">
            <x v="1"/>
          </reference>
        </references>
      </pivotArea>
    </format>
    <format dxfId="88">
      <pivotArea dataOnly="0" labelOnly="1" outline="0" fieldPosition="0">
        <references count="3">
          <reference field="1" count="1" selected="0">
            <x v="1"/>
          </reference>
          <reference field="7" count="3">
            <x v="0"/>
            <x v="2"/>
            <x v="4"/>
          </reference>
          <reference field="20" count="1" selected="0">
            <x v="2"/>
          </reference>
        </references>
      </pivotArea>
    </format>
    <format dxfId="87">
      <pivotArea dataOnly="0" labelOnly="1" outline="0" fieldPosition="0">
        <references count="3">
          <reference field="1" count="1" selected="0">
            <x v="4"/>
          </reference>
          <reference field="7" count="1">
            <x v="1"/>
          </reference>
          <reference field="20" count="1" selected="0">
            <x v="1"/>
          </reference>
        </references>
      </pivotArea>
    </format>
    <format dxfId="86">
      <pivotArea dataOnly="0" labelOnly="1" outline="0" fieldPosition="0">
        <references count="3">
          <reference field="1" count="1" selected="0">
            <x v="4"/>
          </reference>
          <reference field="7" count="1">
            <x v="2"/>
          </reference>
          <reference field="20" count="1" selected="0">
            <x v="2"/>
          </reference>
        </references>
      </pivotArea>
    </format>
    <format dxfId="85">
      <pivotArea dataOnly="0" labelOnly="1" outline="0" fieldPosition="0">
        <references count="3">
          <reference field="1" count="1" selected="0">
            <x v="6"/>
          </reference>
          <reference field="7" count="1">
            <x v="0"/>
          </reference>
          <reference field="20" count="1" selected="0">
            <x v="1"/>
          </reference>
        </references>
      </pivotArea>
    </format>
    <format dxfId="84">
      <pivotArea dataOnly="0" labelOnly="1" outline="0" fieldPosition="0">
        <references count="3">
          <reference field="1" count="1" selected="0">
            <x v="6"/>
          </reference>
          <reference field="7" count="2">
            <x v="2"/>
            <x v="4"/>
          </reference>
          <reference field="20" count="1" selected="0">
            <x v="2"/>
          </reference>
        </references>
      </pivotArea>
    </format>
    <format dxfId="83">
      <pivotArea dataOnly="0" labelOnly="1" outline="0" fieldPosition="0">
        <references count="4">
          <reference field="1" count="1" selected="0">
            <x v="0"/>
          </reference>
          <reference field="7" count="1" selected="0">
            <x v="5"/>
          </reference>
          <reference field="8" count="2">
            <x v="2"/>
            <x v="8"/>
          </reference>
          <reference field="20" count="1" selected="0">
            <x v="2"/>
          </reference>
        </references>
      </pivotArea>
    </format>
    <format dxfId="82">
      <pivotArea dataOnly="0" labelOnly="1" outline="0" fieldPosition="0">
        <references count="4">
          <reference field="1" count="1" selected="0">
            <x v="1"/>
          </reference>
          <reference field="7" count="1" selected="0">
            <x v="0"/>
          </reference>
          <reference field="8" count="1">
            <x v="8"/>
          </reference>
          <reference field="20" count="1" selected="0">
            <x v="1"/>
          </reference>
        </references>
      </pivotArea>
    </format>
    <format dxfId="81">
      <pivotArea dataOnly="0" labelOnly="1" outline="0" fieldPosition="0">
        <references count="4">
          <reference field="1" count="1" selected="0">
            <x v="1"/>
          </reference>
          <reference field="7" count="1" selected="0">
            <x v="2"/>
          </reference>
          <reference field="8" count="1">
            <x v="7"/>
          </reference>
          <reference field="20" count="1" selected="0">
            <x v="1"/>
          </reference>
        </references>
      </pivotArea>
    </format>
    <format dxfId="80">
      <pivotArea dataOnly="0" labelOnly="1" outline="0" fieldPosition="0">
        <references count="4">
          <reference field="1" count="1" selected="0">
            <x v="1"/>
          </reference>
          <reference field="7" count="1" selected="0">
            <x v="4"/>
          </reference>
          <reference field="8" count="1">
            <x v="0"/>
          </reference>
          <reference field="20" count="1" selected="0">
            <x v="1"/>
          </reference>
        </references>
      </pivotArea>
    </format>
    <format dxfId="79">
      <pivotArea dataOnly="0" labelOnly="1" outline="0" fieldPosition="0">
        <references count="4">
          <reference field="1" count="1" selected="0">
            <x v="1"/>
          </reference>
          <reference field="7" count="1" selected="0">
            <x v="8"/>
          </reference>
          <reference field="8" count="1">
            <x v="8"/>
          </reference>
          <reference field="20" count="1" selected="0">
            <x v="1"/>
          </reference>
        </references>
      </pivotArea>
    </format>
    <format dxfId="78">
      <pivotArea dataOnly="0" labelOnly="1" outline="0" fieldPosition="0">
        <references count="4">
          <reference field="1" count="1" selected="0">
            <x v="1"/>
          </reference>
          <reference field="7" count="1" selected="0">
            <x v="2"/>
          </reference>
          <reference field="8" count="1">
            <x v="7"/>
          </reference>
          <reference field="20" count="1" selected="0">
            <x v="2"/>
          </reference>
        </references>
      </pivotArea>
    </format>
    <format dxfId="77">
      <pivotArea dataOnly="0" labelOnly="1" outline="0" fieldPosition="0">
        <references count="4">
          <reference field="1" count="1" selected="0">
            <x v="1"/>
          </reference>
          <reference field="7" count="1" selected="0">
            <x v="4"/>
          </reference>
          <reference field="8" count="1">
            <x v="8"/>
          </reference>
          <reference field="20" count="1" selected="0">
            <x v="2"/>
          </reference>
        </references>
      </pivotArea>
    </format>
    <format dxfId="76">
      <pivotArea dataOnly="0" labelOnly="1" outline="0" fieldPosition="0">
        <references count="4">
          <reference field="1" count="1" selected="0">
            <x v="4"/>
          </reference>
          <reference field="7" count="1" selected="0">
            <x v="1"/>
          </reference>
          <reference field="8" count="1">
            <x v="1"/>
          </reference>
          <reference field="20" count="1" selected="0">
            <x v="1"/>
          </reference>
        </references>
      </pivotArea>
    </format>
    <format dxfId="75">
      <pivotArea dataOnly="0" labelOnly="1" outline="0" fieldPosition="0">
        <references count="4">
          <reference field="1" count="1" selected="0">
            <x v="4"/>
          </reference>
          <reference field="7" count="1" selected="0">
            <x v="2"/>
          </reference>
          <reference field="8" count="1">
            <x v="3"/>
          </reference>
          <reference field="20" count="1" selected="0">
            <x v="2"/>
          </reference>
        </references>
      </pivotArea>
    </format>
    <format dxfId="74">
      <pivotArea dataOnly="0" labelOnly="1" outline="0" fieldPosition="0">
        <references count="4">
          <reference field="1" count="1" selected="0">
            <x v="6"/>
          </reference>
          <reference field="7" count="1" selected="0">
            <x v="0"/>
          </reference>
          <reference field="8" count="1">
            <x v="0"/>
          </reference>
          <reference field="20" count="1" selected="0">
            <x v="1"/>
          </reference>
        </references>
      </pivotArea>
    </format>
    <format dxfId="73">
      <pivotArea dataOnly="0" labelOnly="1" outline="0" fieldPosition="0">
        <references count="4">
          <reference field="1" count="1" selected="0">
            <x v="6"/>
          </reference>
          <reference field="7" count="1" selected="0">
            <x v="2"/>
          </reference>
          <reference field="8" count="1">
            <x v="8"/>
          </reference>
          <reference field="20" count="1" selected="0">
            <x v="2"/>
          </reference>
        </references>
      </pivotArea>
    </format>
    <format dxfId="72">
      <pivotArea dataOnly="0" labelOnly="1" outline="0" fieldPosition="0">
        <references count="4">
          <reference field="1" count="1" selected="0">
            <x v="6"/>
          </reference>
          <reference field="7" count="1" selected="0">
            <x v="4"/>
          </reference>
          <reference field="8" count="1">
            <x v="0"/>
          </reference>
          <reference field="20" count="1" selected="0">
            <x v="2"/>
          </reference>
        </references>
      </pivotArea>
    </format>
    <format dxfId="71">
      <pivotArea dataOnly="0" labelOnly="1" outline="0" fieldPosition="0">
        <references count="5">
          <reference field="0" count="1">
            <x v="135"/>
          </reference>
          <reference field="1" count="1" selected="0">
            <x v="0"/>
          </reference>
          <reference field="7" count="1" selected="0">
            <x v="5"/>
          </reference>
          <reference field="8" count="1" selected="0">
            <x v="2"/>
          </reference>
          <reference field="20" count="1" selected="0">
            <x v="2"/>
          </reference>
        </references>
      </pivotArea>
    </format>
    <format dxfId="70">
      <pivotArea dataOnly="0" labelOnly="1" outline="0" fieldPosition="0">
        <references count="5">
          <reference field="0" count="1">
            <x v="121"/>
          </reference>
          <reference field="1" count="1" selected="0">
            <x v="0"/>
          </reference>
          <reference field="7" count="1" selected="0">
            <x v="5"/>
          </reference>
          <reference field="8" count="1" selected="0">
            <x v="8"/>
          </reference>
          <reference field="20" count="1" selected="0">
            <x v="2"/>
          </reference>
        </references>
      </pivotArea>
    </format>
    <format dxfId="69">
      <pivotArea dataOnly="0" labelOnly="1" outline="0" fieldPosition="0">
        <references count="5">
          <reference field="0" count="1">
            <x v="191"/>
          </reference>
          <reference field="1" count="1" selected="0">
            <x v="1"/>
          </reference>
          <reference field="7" count="1" selected="0">
            <x v="0"/>
          </reference>
          <reference field="8" count="1" selected="0">
            <x v="8"/>
          </reference>
          <reference field="20" count="1" selected="0">
            <x v="1"/>
          </reference>
        </references>
      </pivotArea>
    </format>
    <format dxfId="68">
      <pivotArea dataOnly="0" labelOnly="1" outline="0" fieldPosition="0">
        <references count="5">
          <reference field="0" count="1">
            <x v="138"/>
          </reference>
          <reference field="1" count="1" selected="0">
            <x v="1"/>
          </reference>
          <reference field="7" count="1" selected="0">
            <x v="2"/>
          </reference>
          <reference field="8" count="1" selected="0">
            <x v="7"/>
          </reference>
          <reference field="20" count="1" selected="0">
            <x v="1"/>
          </reference>
        </references>
      </pivotArea>
    </format>
    <format dxfId="67">
      <pivotArea dataOnly="0" labelOnly="1" outline="0" fieldPosition="0">
        <references count="5">
          <reference field="0" count="1">
            <x v="144"/>
          </reference>
          <reference field="1" count="1" selected="0">
            <x v="1"/>
          </reference>
          <reference field="7" count="1" selected="0">
            <x v="4"/>
          </reference>
          <reference field="8" count="1" selected="0">
            <x v="0"/>
          </reference>
          <reference field="20" count="1" selected="0">
            <x v="1"/>
          </reference>
        </references>
      </pivotArea>
    </format>
    <format dxfId="66">
      <pivotArea dataOnly="0" labelOnly="1" outline="0" fieldPosition="0">
        <references count="5">
          <reference field="0" count="1">
            <x v="56"/>
          </reference>
          <reference field="1" count="1" selected="0">
            <x v="1"/>
          </reference>
          <reference field="7" count="1" selected="0">
            <x v="8"/>
          </reference>
          <reference field="8" count="1" selected="0">
            <x v="8"/>
          </reference>
          <reference field="20" count="1" selected="0">
            <x v="1"/>
          </reference>
        </references>
      </pivotArea>
    </format>
    <format dxfId="65">
      <pivotArea dataOnly="0" labelOnly="1" outline="0" fieldPosition="0">
        <references count="5">
          <reference field="0" count="1">
            <x v="156"/>
          </reference>
          <reference field="1" count="1" selected="0">
            <x v="1"/>
          </reference>
          <reference field="7" count="1" selected="0">
            <x v="0"/>
          </reference>
          <reference field="8" count="1" selected="0">
            <x v="8"/>
          </reference>
          <reference field="20" count="1" selected="0">
            <x v="2"/>
          </reference>
        </references>
      </pivotArea>
    </format>
    <format dxfId="64">
      <pivotArea dataOnly="0" labelOnly="1" outline="0" fieldPosition="0">
        <references count="5">
          <reference field="0" count="1">
            <x v="51"/>
          </reference>
          <reference field="1" count="1" selected="0">
            <x v="1"/>
          </reference>
          <reference field="7" count="1" selected="0">
            <x v="2"/>
          </reference>
          <reference field="8" count="1" selected="0">
            <x v="7"/>
          </reference>
          <reference field="20" count="1" selected="0">
            <x v="2"/>
          </reference>
        </references>
      </pivotArea>
    </format>
    <format dxfId="63">
      <pivotArea dataOnly="0" labelOnly="1" outline="0" fieldPosition="0">
        <references count="5">
          <reference field="0" count="1">
            <x v="153"/>
          </reference>
          <reference field="1" count="1" selected="0">
            <x v="1"/>
          </reference>
          <reference field="7" count="1" selected="0">
            <x v="4"/>
          </reference>
          <reference field="8" count="1" selected="0">
            <x v="8"/>
          </reference>
          <reference field="20" count="1" selected="0">
            <x v="2"/>
          </reference>
        </references>
      </pivotArea>
    </format>
    <format dxfId="62">
      <pivotArea dataOnly="0" labelOnly="1" outline="0" fieldPosition="0">
        <references count="5">
          <reference field="0" count="1">
            <x v="113"/>
          </reference>
          <reference field="1" count="1" selected="0">
            <x v="4"/>
          </reference>
          <reference field="7" count="1" selected="0">
            <x v="1"/>
          </reference>
          <reference field="8" count="1" selected="0">
            <x v="1"/>
          </reference>
          <reference field="20" count="1" selected="0">
            <x v="1"/>
          </reference>
        </references>
      </pivotArea>
    </format>
    <format dxfId="61">
      <pivotArea dataOnly="0" labelOnly="1" outline="0" fieldPosition="0">
        <references count="5">
          <reference field="0" count="1">
            <x v="12"/>
          </reference>
          <reference field="1" count="1" selected="0">
            <x v="4"/>
          </reference>
          <reference field="7" count="1" selected="0">
            <x v="2"/>
          </reference>
          <reference field="8" count="1" selected="0">
            <x v="3"/>
          </reference>
          <reference field="20" count="1" selected="0">
            <x v="2"/>
          </reference>
        </references>
      </pivotArea>
    </format>
    <format dxfId="60">
      <pivotArea dataOnly="0" labelOnly="1" outline="0" fieldPosition="0">
        <references count="5">
          <reference field="0" count="1">
            <x v="163"/>
          </reference>
          <reference field="1" count="1" selected="0">
            <x v="6"/>
          </reference>
          <reference field="7" count="1" selected="0">
            <x v="0"/>
          </reference>
          <reference field="8" count="1" selected="0">
            <x v="0"/>
          </reference>
          <reference field="20" count="1" selected="0">
            <x v="1"/>
          </reference>
        </references>
      </pivotArea>
    </format>
    <format dxfId="59">
      <pivotArea dataOnly="0" labelOnly="1" outline="0" fieldPosition="0">
        <references count="5">
          <reference field="0" count="1">
            <x v="167"/>
          </reference>
          <reference field="1" count="1" selected="0">
            <x v="6"/>
          </reference>
          <reference field="7" count="1" selected="0">
            <x v="2"/>
          </reference>
          <reference field="8" count="1" selected="0">
            <x v="8"/>
          </reference>
          <reference field="20" count="1" selected="0">
            <x v="2"/>
          </reference>
        </references>
      </pivotArea>
    </format>
    <format dxfId="58">
      <pivotArea dataOnly="0" labelOnly="1" outline="0" fieldPosition="0">
        <references count="5">
          <reference field="0" count="2">
            <x v="181"/>
            <x v="194"/>
          </reference>
          <reference field="1" count="1" selected="0">
            <x v="6"/>
          </reference>
          <reference field="7" count="1" selected="0">
            <x v="4"/>
          </reference>
          <reference field="8" count="1" selected="0">
            <x v="0"/>
          </reference>
          <reference field="20" count="1" selected="0">
            <x v="2"/>
          </reference>
        </references>
      </pivotArea>
    </format>
    <format dxfId="57">
      <pivotArea dataOnly="0" labelOnly="1" outline="0" fieldPosition="0">
        <references count="6">
          <reference field="0" count="1" selected="0">
            <x v="135"/>
          </reference>
          <reference field="1" count="1" selected="0">
            <x v="0"/>
          </reference>
          <reference field="3" count="1">
            <x v="241"/>
          </reference>
          <reference field="7" count="1" selected="0">
            <x v="5"/>
          </reference>
          <reference field="8" count="1" selected="0">
            <x v="2"/>
          </reference>
          <reference field="20" count="1" selected="0">
            <x v="2"/>
          </reference>
        </references>
      </pivotArea>
    </format>
    <format dxfId="56">
      <pivotArea dataOnly="0" labelOnly="1" outline="0" fieldPosition="0">
        <references count="6">
          <reference field="0" count="1" selected="0">
            <x v="121"/>
          </reference>
          <reference field="1" count="1" selected="0">
            <x v="0"/>
          </reference>
          <reference field="3" count="1">
            <x v="240"/>
          </reference>
          <reference field="7" count="1" selected="0">
            <x v="5"/>
          </reference>
          <reference field="8" count="1" selected="0">
            <x v="8"/>
          </reference>
          <reference field="20" count="1" selected="0">
            <x v="2"/>
          </reference>
        </references>
      </pivotArea>
    </format>
    <format dxfId="55">
      <pivotArea dataOnly="0" labelOnly="1" outline="0" fieldPosition="0">
        <references count="6">
          <reference field="0" count="1" selected="0">
            <x v="191"/>
          </reference>
          <reference field="1" count="1" selected="0">
            <x v="1"/>
          </reference>
          <reference field="3" count="1">
            <x v="250"/>
          </reference>
          <reference field="7" count="1" selected="0">
            <x v="0"/>
          </reference>
          <reference field="8" count="1" selected="0">
            <x v="8"/>
          </reference>
          <reference field="20" count="1" selected="0">
            <x v="1"/>
          </reference>
        </references>
      </pivotArea>
    </format>
    <format dxfId="54">
      <pivotArea dataOnly="0" labelOnly="1" outline="0" fieldPosition="0">
        <references count="6">
          <reference field="0" count="1" selected="0">
            <x v="138"/>
          </reference>
          <reference field="1" count="1" selected="0">
            <x v="1"/>
          </reference>
          <reference field="3" count="1">
            <x v="246"/>
          </reference>
          <reference field="7" count="1" selected="0">
            <x v="2"/>
          </reference>
          <reference field="8" count="1" selected="0">
            <x v="7"/>
          </reference>
          <reference field="20" count="1" selected="0">
            <x v="1"/>
          </reference>
        </references>
      </pivotArea>
    </format>
    <format dxfId="53">
      <pivotArea dataOnly="0" labelOnly="1" outline="0" fieldPosition="0">
        <references count="6">
          <reference field="0" count="1" selected="0">
            <x v="144"/>
          </reference>
          <reference field="1" count="1" selected="0">
            <x v="1"/>
          </reference>
          <reference field="3" count="1">
            <x v="156"/>
          </reference>
          <reference field="7" count="1" selected="0">
            <x v="4"/>
          </reference>
          <reference field="8" count="1" selected="0">
            <x v="0"/>
          </reference>
          <reference field="20" count="1" selected="0">
            <x v="1"/>
          </reference>
        </references>
      </pivotArea>
    </format>
    <format dxfId="52">
      <pivotArea dataOnly="0" labelOnly="1" outline="0" fieldPosition="0">
        <references count="6">
          <reference field="0" count="1" selected="0">
            <x v="56"/>
          </reference>
          <reference field="1" count="1" selected="0">
            <x v="1"/>
          </reference>
          <reference field="3" count="1">
            <x v="12"/>
          </reference>
          <reference field="7" count="1" selected="0">
            <x v="8"/>
          </reference>
          <reference field="8" count="1" selected="0">
            <x v="8"/>
          </reference>
          <reference field="20" count="1" selected="0">
            <x v="1"/>
          </reference>
        </references>
      </pivotArea>
    </format>
    <format dxfId="51">
      <pivotArea dataOnly="0" labelOnly="1" outline="0" fieldPosition="0">
        <references count="6">
          <reference field="0" count="1" selected="0">
            <x v="156"/>
          </reference>
          <reference field="1" count="1" selected="0">
            <x v="1"/>
          </reference>
          <reference field="3" count="1">
            <x v="167"/>
          </reference>
          <reference field="7" count="1" selected="0">
            <x v="0"/>
          </reference>
          <reference field="8" count="1" selected="0">
            <x v="8"/>
          </reference>
          <reference field="20" count="1" selected="0">
            <x v="2"/>
          </reference>
        </references>
      </pivotArea>
    </format>
    <format dxfId="50">
      <pivotArea dataOnly="0" labelOnly="1" outline="0" fieldPosition="0">
        <references count="6">
          <reference field="0" count="1" selected="0">
            <x v="51"/>
          </reference>
          <reference field="1" count="1" selected="0">
            <x v="1"/>
          </reference>
          <reference field="3" count="1">
            <x v="243"/>
          </reference>
          <reference field="7" count="1" selected="0">
            <x v="2"/>
          </reference>
          <reference field="8" count="1" selected="0">
            <x v="7"/>
          </reference>
          <reference field="20" count="1" selected="0">
            <x v="2"/>
          </reference>
        </references>
      </pivotArea>
    </format>
    <format dxfId="49">
      <pivotArea dataOnly="0" labelOnly="1" outline="0" fieldPosition="0">
        <references count="6">
          <reference field="0" count="1" selected="0">
            <x v="153"/>
          </reference>
          <reference field="1" count="1" selected="0">
            <x v="1"/>
          </reference>
          <reference field="3" count="1">
            <x v="164"/>
          </reference>
          <reference field="7" count="1" selected="0">
            <x v="4"/>
          </reference>
          <reference field="8" count="1" selected="0">
            <x v="8"/>
          </reference>
          <reference field="20" count="1" selected="0">
            <x v="2"/>
          </reference>
        </references>
      </pivotArea>
    </format>
    <format dxfId="48">
      <pivotArea dataOnly="0" labelOnly="1" outline="0" fieldPosition="0">
        <references count="6">
          <reference field="0" count="1" selected="0">
            <x v="113"/>
          </reference>
          <reference field="1" count="1" selected="0">
            <x v="4"/>
          </reference>
          <reference field="3" count="1">
            <x v="116"/>
          </reference>
          <reference field="7" count="1" selected="0">
            <x v="1"/>
          </reference>
          <reference field="8" count="1" selected="0">
            <x v="1"/>
          </reference>
          <reference field="20" count="1" selected="0">
            <x v="1"/>
          </reference>
        </references>
      </pivotArea>
    </format>
    <format dxfId="47">
      <pivotArea dataOnly="0" labelOnly="1" outline="0" fieldPosition="0">
        <references count="6">
          <reference field="0" count="1" selected="0">
            <x v="12"/>
          </reference>
          <reference field="1" count="1" selected="0">
            <x v="4"/>
          </reference>
          <reference field="3" count="1">
            <x v="232"/>
          </reference>
          <reference field="7" count="1" selected="0">
            <x v="2"/>
          </reference>
          <reference field="8" count="1" selected="0">
            <x v="3"/>
          </reference>
          <reference field="20" count="1" selected="0">
            <x v="2"/>
          </reference>
        </references>
      </pivotArea>
    </format>
    <format dxfId="46">
      <pivotArea dataOnly="0" labelOnly="1" outline="0" fieldPosition="0">
        <references count="6">
          <reference field="0" count="1" selected="0">
            <x v="163"/>
          </reference>
          <reference field="1" count="1" selected="0">
            <x v="6"/>
          </reference>
          <reference field="3" count="1">
            <x v="175"/>
          </reference>
          <reference field="7" count="1" selected="0">
            <x v="0"/>
          </reference>
          <reference field="8" count="1" selected="0">
            <x v="0"/>
          </reference>
          <reference field="20" count="1" selected="0">
            <x v="1"/>
          </reference>
        </references>
      </pivotArea>
    </format>
    <format dxfId="45">
      <pivotArea dataOnly="0" labelOnly="1" outline="0" fieldPosition="0">
        <references count="6">
          <reference field="0" count="1" selected="0">
            <x v="167"/>
          </reference>
          <reference field="1" count="1" selected="0">
            <x v="6"/>
          </reference>
          <reference field="3" count="1">
            <x v="247"/>
          </reference>
          <reference field="7" count="1" selected="0">
            <x v="2"/>
          </reference>
          <reference field="8" count="1" selected="0">
            <x v="8"/>
          </reference>
          <reference field="20" count="1" selected="0">
            <x v="2"/>
          </reference>
        </references>
      </pivotArea>
    </format>
    <format dxfId="44">
      <pivotArea dataOnly="0" labelOnly="1" outline="0" fieldPosition="0">
        <references count="6">
          <reference field="0" count="1" selected="0">
            <x v="181"/>
          </reference>
          <reference field="1" count="1" selected="0">
            <x v="6"/>
          </reference>
          <reference field="3" count="1">
            <x v="193"/>
          </reference>
          <reference field="7" count="1" selected="0">
            <x v="4"/>
          </reference>
          <reference field="8" count="1" selected="0">
            <x v="0"/>
          </reference>
          <reference field="20" count="1" selected="0">
            <x v="2"/>
          </reference>
        </references>
      </pivotArea>
    </format>
    <format dxfId="43">
      <pivotArea dataOnly="0" labelOnly="1" outline="0" fieldPosition="0">
        <references count="6">
          <reference field="0" count="1" selected="0">
            <x v="194"/>
          </reference>
          <reference field="1" count="1" selected="0">
            <x v="6"/>
          </reference>
          <reference field="3" count="1">
            <x v="253"/>
          </reference>
          <reference field="7" count="1" selected="0">
            <x v="4"/>
          </reference>
          <reference field="8" count="1" selected="0">
            <x v="0"/>
          </reference>
          <reference field="20" count="1" selected="0">
            <x v="2"/>
          </reference>
        </references>
      </pivotArea>
    </format>
    <format dxfId="42">
      <pivotArea dataOnly="0" labelOnly="1" outline="0" fieldPosition="0">
        <references count="7">
          <reference field="0" count="1" selected="0">
            <x v="135"/>
          </reference>
          <reference field="1" count="1" selected="0">
            <x v="0"/>
          </reference>
          <reference field="3" count="1" selected="0">
            <x v="241"/>
          </reference>
          <reference field="4" count="1">
            <x v="150"/>
          </reference>
          <reference field="7" count="1" selected="0">
            <x v="5"/>
          </reference>
          <reference field="8" count="1" selected="0">
            <x v="2"/>
          </reference>
          <reference field="20" count="1" selected="0">
            <x v="2"/>
          </reference>
        </references>
      </pivotArea>
    </format>
    <format dxfId="41">
      <pivotArea dataOnly="0" labelOnly="1" outline="0" fieldPosition="0">
        <references count="7">
          <reference field="0" count="1" selected="0">
            <x v="121"/>
          </reference>
          <reference field="1" count="1" selected="0">
            <x v="0"/>
          </reference>
          <reference field="3" count="1" selected="0">
            <x v="240"/>
          </reference>
          <reference field="4" count="1">
            <x v="149"/>
          </reference>
          <reference field="7" count="1" selected="0">
            <x v="5"/>
          </reference>
          <reference field="8" count="1" selected="0">
            <x v="8"/>
          </reference>
          <reference field="20" count="1" selected="0">
            <x v="2"/>
          </reference>
        </references>
      </pivotArea>
    </format>
    <format dxfId="40">
      <pivotArea dataOnly="0" labelOnly="1" outline="0" fieldPosition="0">
        <references count="7">
          <reference field="0" count="1" selected="0">
            <x v="191"/>
          </reference>
          <reference field="1" count="1" selected="0">
            <x v="1"/>
          </reference>
          <reference field="3" count="1" selected="0">
            <x v="250"/>
          </reference>
          <reference field="4" count="1">
            <x v="162"/>
          </reference>
          <reference field="7" count="1" selected="0">
            <x v="0"/>
          </reference>
          <reference field="8" count="1" selected="0">
            <x v="8"/>
          </reference>
          <reference field="20" count="1" selected="0">
            <x v="1"/>
          </reference>
        </references>
      </pivotArea>
    </format>
    <format dxfId="39">
      <pivotArea dataOnly="0" labelOnly="1" outline="0" fieldPosition="0">
        <references count="7">
          <reference field="0" count="1" selected="0">
            <x v="138"/>
          </reference>
          <reference field="1" count="1" selected="0">
            <x v="1"/>
          </reference>
          <reference field="3" count="1" selected="0">
            <x v="246"/>
          </reference>
          <reference field="4" count="1">
            <x v="5"/>
          </reference>
          <reference field="7" count="1" selected="0">
            <x v="2"/>
          </reference>
          <reference field="8" count="1" selected="0">
            <x v="7"/>
          </reference>
          <reference field="20" count="1" selected="0">
            <x v="1"/>
          </reference>
        </references>
      </pivotArea>
    </format>
    <format dxfId="38">
      <pivotArea dataOnly="0" labelOnly="1" outline="0" fieldPosition="0">
        <references count="7">
          <reference field="0" count="1" selected="0">
            <x v="144"/>
          </reference>
          <reference field="1" count="1" selected="0">
            <x v="1"/>
          </reference>
          <reference field="3" count="1" selected="0">
            <x v="156"/>
          </reference>
          <reference field="4" count="1">
            <x v="22"/>
          </reference>
          <reference field="7" count="1" selected="0">
            <x v="4"/>
          </reference>
          <reference field="8" count="1" selected="0">
            <x v="0"/>
          </reference>
          <reference field="20" count="1" selected="0">
            <x v="1"/>
          </reference>
        </references>
      </pivotArea>
    </format>
    <format dxfId="37">
      <pivotArea dataOnly="0" labelOnly="1" outline="0" fieldPosition="0">
        <references count="7">
          <reference field="0" count="1" selected="0">
            <x v="56"/>
          </reference>
          <reference field="1" count="1" selected="0">
            <x v="1"/>
          </reference>
          <reference field="3" count="1" selected="0">
            <x v="12"/>
          </reference>
          <reference field="4" count="1">
            <x v="12"/>
          </reference>
          <reference field="7" count="1" selected="0">
            <x v="8"/>
          </reference>
          <reference field="8" count="1" selected="0">
            <x v="8"/>
          </reference>
          <reference field="20" count="1" selected="0">
            <x v="1"/>
          </reference>
        </references>
      </pivotArea>
    </format>
    <format dxfId="36">
      <pivotArea dataOnly="0" labelOnly="1" outline="0" fieldPosition="0">
        <references count="7">
          <reference field="0" count="1" selected="0">
            <x v="156"/>
          </reference>
          <reference field="1" count="1" selected="0">
            <x v="1"/>
          </reference>
          <reference field="3" count="1" selected="0">
            <x v="167"/>
          </reference>
          <reference field="4" count="1">
            <x v="87"/>
          </reference>
          <reference field="7" count="1" selected="0">
            <x v="0"/>
          </reference>
          <reference field="8" count="1" selected="0">
            <x v="8"/>
          </reference>
          <reference field="20" count="1" selected="0">
            <x v="2"/>
          </reference>
        </references>
      </pivotArea>
    </format>
    <format dxfId="35">
      <pivotArea dataOnly="0" labelOnly="1" outline="0" fieldPosition="0">
        <references count="7">
          <reference field="0" count="1" selected="0">
            <x v="51"/>
          </reference>
          <reference field="1" count="1" selected="0">
            <x v="1"/>
          </reference>
          <reference field="3" count="1" selected="0">
            <x v="243"/>
          </reference>
          <reference field="4" count="1">
            <x v="155"/>
          </reference>
          <reference field="7" count="1" selected="0">
            <x v="2"/>
          </reference>
          <reference field="8" count="1" selected="0">
            <x v="7"/>
          </reference>
          <reference field="20" count="1" selected="0">
            <x v="2"/>
          </reference>
        </references>
      </pivotArea>
    </format>
    <format dxfId="34">
      <pivotArea dataOnly="0" labelOnly="1" outline="0" fieldPosition="0">
        <references count="7">
          <reference field="0" count="1" selected="0">
            <x v="153"/>
          </reference>
          <reference field="1" count="1" selected="0">
            <x v="1"/>
          </reference>
          <reference field="3" count="1" selected="0">
            <x v="164"/>
          </reference>
          <reference field="4" count="1">
            <x v="17"/>
          </reference>
          <reference field="7" count="1" selected="0">
            <x v="4"/>
          </reference>
          <reference field="8" count="1" selected="0">
            <x v="8"/>
          </reference>
          <reference field="20" count="1" selected="0">
            <x v="2"/>
          </reference>
        </references>
      </pivotArea>
    </format>
    <format dxfId="33">
      <pivotArea dataOnly="0" labelOnly="1" outline="0" fieldPosition="0">
        <references count="7">
          <reference field="0" count="1" selected="0">
            <x v="113"/>
          </reference>
          <reference field="1" count="1" selected="0">
            <x v="4"/>
          </reference>
          <reference field="3" count="1" selected="0">
            <x v="116"/>
          </reference>
          <reference field="4" count="1">
            <x v="61"/>
          </reference>
          <reference field="7" count="1" selected="0">
            <x v="1"/>
          </reference>
          <reference field="8" count="1" selected="0">
            <x v="1"/>
          </reference>
          <reference field="20" count="1" selected="0">
            <x v="1"/>
          </reference>
        </references>
      </pivotArea>
    </format>
    <format dxfId="32">
      <pivotArea dataOnly="0" labelOnly="1" outline="0" fieldPosition="0">
        <references count="7">
          <reference field="0" count="1" selected="0">
            <x v="12"/>
          </reference>
          <reference field="1" count="1" selected="0">
            <x v="4"/>
          </reference>
          <reference field="3" count="1" selected="0">
            <x v="232"/>
          </reference>
          <reference field="4" count="1">
            <x v="58"/>
          </reference>
          <reference field="7" count="1" selected="0">
            <x v="2"/>
          </reference>
          <reference field="8" count="1" selected="0">
            <x v="3"/>
          </reference>
          <reference field="20" count="1" selected="0">
            <x v="2"/>
          </reference>
        </references>
      </pivotArea>
    </format>
    <format dxfId="31">
      <pivotArea dataOnly="0" labelOnly="1" outline="0" fieldPosition="0">
        <references count="7">
          <reference field="0" count="1" selected="0">
            <x v="163"/>
          </reference>
          <reference field="1" count="1" selected="0">
            <x v="6"/>
          </reference>
          <reference field="3" count="1" selected="0">
            <x v="175"/>
          </reference>
          <reference field="4" count="1">
            <x v="96"/>
          </reference>
          <reference field="7" count="1" selected="0">
            <x v="0"/>
          </reference>
          <reference field="8" count="1" selected="0">
            <x v="0"/>
          </reference>
          <reference field="20" count="1" selected="0">
            <x v="1"/>
          </reference>
        </references>
      </pivotArea>
    </format>
    <format dxfId="30">
      <pivotArea dataOnly="0" labelOnly="1" outline="0" fieldPosition="0">
        <references count="7">
          <reference field="0" count="1" selected="0">
            <x v="167"/>
          </reference>
          <reference field="1" count="1" selected="0">
            <x v="6"/>
          </reference>
          <reference field="3" count="1" selected="0">
            <x v="247"/>
          </reference>
          <reference field="4" count="1">
            <x v="170"/>
          </reference>
          <reference field="7" count="1" selected="0">
            <x v="2"/>
          </reference>
          <reference field="8" count="1" selected="0">
            <x v="8"/>
          </reference>
          <reference field="20" count="1" selected="0">
            <x v="2"/>
          </reference>
        </references>
      </pivotArea>
    </format>
    <format dxfId="29">
      <pivotArea dataOnly="0" labelOnly="1" outline="0" fieldPosition="0">
        <references count="7">
          <reference field="0" count="1" selected="0">
            <x v="181"/>
          </reference>
          <reference field="1" count="1" selected="0">
            <x v="6"/>
          </reference>
          <reference field="3" count="1" selected="0">
            <x v="193"/>
          </reference>
          <reference field="4" count="1">
            <x v="112"/>
          </reference>
          <reference field="7" count="1" selected="0">
            <x v="4"/>
          </reference>
          <reference field="8" count="1" selected="0">
            <x v="0"/>
          </reference>
          <reference field="20" count="1" selected="0">
            <x v="2"/>
          </reference>
        </references>
      </pivotArea>
    </format>
    <format dxfId="28">
      <pivotArea dataOnly="0" labelOnly="1" outline="0" fieldPosition="0">
        <references count="7">
          <reference field="0" count="1" selected="0">
            <x v="194"/>
          </reference>
          <reference field="1" count="1" selected="0">
            <x v="6"/>
          </reference>
          <reference field="3" count="1" selected="0">
            <x v="253"/>
          </reference>
          <reference field="4" count="1">
            <x v="3"/>
          </reference>
          <reference field="7" count="1" selected="0">
            <x v="4"/>
          </reference>
          <reference field="8" count="1" selected="0">
            <x v="0"/>
          </reference>
          <reference field="20" count="1" selected="0">
            <x v="2"/>
          </reference>
        </references>
      </pivotArea>
    </format>
    <format dxfId="27">
      <pivotArea type="topRight" dataOnly="0" labelOnly="1"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5B541B9-62FE-494E-93C2-3C9949AA6F81}" name="TablaDinámica1" cacheId="2"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34" firstHeaderRow="1" firstDataRow="2" firstDataCol="3" rowPageCount="1" colPageCount="1"/>
  <pivotFields count="21">
    <pivotField compact="0" outline="0" subtotalTop="0" showAll="0"/>
    <pivotField axis="axisRow" compact="0" outline="0" subtotalTop="0" showAll="0">
      <items count="8">
        <item x="3"/>
        <item x="5"/>
        <item x="6"/>
        <item x="4"/>
        <item x="2"/>
        <item x="1"/>
        <item x="0"/>
        <item t="default"/>
      </items>
    </pivotField>
    <pivotField compact="0" outline="0" subtotalTop="0" showAll="0"/>
    <pivotField axis="axisRow" compact="0" outline="0" subtotalTop="0" showAll="0">
      <items count="256">
        <item x="155"/>
        <item x="208"/>
        <item x="43"/>
        <item x="212"/>
        <item x="174"/>
        <item x="97"/>
        <item x="17"/>
        <item x="67"/>
        <item x="95"/>
        <item x="108"/>
        <item x="75"/>
        <item x="219"/>
        <item x="221"/>
        <item x="191"/>
        <item x="193"/>
        <item x="202"/>
        <item x="35"/>
        <item x="37"/>
        <item x="204"/>
        <item x="133"/>
        <item x="30"/>
        <item x="119"/>
        <item x="122"/>
        <item x="121"/>
        <item x="123"/>
        <item x="54"/>
        <item m="1" x="248"/>
        <item m="1" x="230"/>
        <item m="1" x="245"/>
        <item x="182"/>
        <item x="140"/>
        <item x="171"/>
        <item x="157"/>
        <item x="147"/>
        <item x="136"/>
        <item x="129"/>
        <item m="1" x="237"/>
        <item x="181"/>
        <item x="184"/>
        <item x="197"/>
        <item x="216"/>
        <item x="173"/>
        <item x="150"/>
        <item x="151"/>
        <item m="1" x="234"/>
        <item x="86"/>
        <item m="1" x="250"/>
        <item m="1" x="243"/>
        <item x="100"/>
        <item m="1" x="233"/>
        <item x="24"/>
        <item x="1"/>
        <item m="1" x="244"/>
        <item m="1" x="224"/>
        <item m="1" x="241"/>
        <item x="73"/>
        <item x="68"/>
        <item x="58"/>
        <item x="146"/>
        <item x="145"/>
        <item x="59"/>
        <item x="220"/>
        <item m="1" x="222"/>
        <item x="53"/>
        <item x="207"/>
        <item x="211"/>
        <item x="70"/>
        <item x="61"/>
        <item x="160"/>
        <item x="77"/>
        <item x="2"/>
        <item m="1" x="242"/>
        <item x="79"/>
        <item x="71"/>
        <item x="214"/>
        <item x="91"/>
        <item m="1" x="240"/>
        <item x="176"/>
        <item x="82"/>
        <item x="4"/>
        <item x="26"/>
        <item x="12"/>
        <item m="1" x="253"/>
        <item x="34"/>
        <item x="78"/>
        <item x="206"/>
        <item x="179"/>
        <item x="144"/>
        <item x="215"/>
        <item x="142"/>
        <item x="201"/>
        <item x="210"/>
        <item x="203"/>
        <item x="217"/>
        <item x="83"/>
        <item m="1" x="238"/>
        <item x="205"/>
        <item m="1" x="239"/>
        <item x="27"/>
        <item m="1" x="223"/>
        <item x="13"/>
        <item x="218"/>
        <item x="74"/>
        <item x="169"/>
        <item x="42"/>
        <item m="1" x="249"/>
        <item x="170"/>
        <item x="125"/>
        <item x="126"/>
        <item x="127"/>
        <item x="128"/>
        <item x="36"/>
        <item x="116"/>
        <item x="16"/>
        <item x="189"/>
        <item x="60"/>
        <item x="18"/>
        <item x="190"/>
        <item x="0"/>
        <item x="41"/>
        <item x="14"/>
        <item x="15"/>
        <item x="158"/>
        <item x="161"/>
        <item m="1" x="225"/>
        <item x="165"/>
        <item x="164"/>
        <item x="159"/>
        <item x="134"/>
        <item x="163"/>
        <item x="132"/>
        <item x="66"/>
        <item x="101"/>
        <item x="117"/>
        <item x="106"/>
        <item x="85"/>
        <item m="1" x="247"/>
        <item x="80"/>
        <item x="120"/>
        <item x="113"/>
        <item x="131"/>
        <item m="1" x="231"/>
        <item x="130"/>
        <item x="44"/>
        <item x="25"/>
        <item x="72"/>
        <item m="1" x="251"/>
        <item x="103"/>
        <item x="105"/>
        <item x="104"/>
        <item x="102"/>
        <item x="110"/>
        <item m="1" x="246"/>
        <item m="1" x="229"/>
        <item x="69"/>
        <item x="99"/>
        <item x="62"/>
        <item x="137"/>
        <item x="65"/>
        <item x="96"/>
        <item x="50"/>
        <item m="1" x="254"/>
        <item x="7"/>
        <item x="6"/>
        <item x="154"/>
        <item x="114"/>
        <item x="124"/>
        <item x="40"/>
        <item x="118"/>
        <item x="98"/>
        <item x="115"/>
        <item x="88"/>
        <item x="195"/>
        <item x="3"/>
        <item x="5"/>
        <item x="192"/>
        <item x="87"/>
        <item m="1" x="228"/>
        <item x="156"/>
        <item x="138"/>
        <item x="33"/>
        <item x="153"/>
        <item m="1" x="252"/>
        <item x="152"/>
        <item x="178"/>
        <item x="94"/>
        <item x="29"/>
        <item x="11"/>
        <item x="107"/>
        <item x="109"/>
        <item x="111"/>
        <item x="112"/>
        <item x="46"/>
        <item x="183"/>
        <item x="64"/>
        <item x="175"/>
        <item m="1" x="235"/>
        <item x="32"/>
        <item x="139"/>
        <item x="63"/>
        <item x="22"/>
        <item x="48"/>
        <item x="21"/>
        <item x="8"/>
        <item x="20"/>
        <item x="92"/>
        <item x="141"/>
        <item x="194"/>
        <item x="39"/>
        <item x="51"/>
        <item x="135"/>
        <item m="1" x="227"/>
        <item x="76"/>
        <item x="177"/>
        <item x="28"/>
        <item m="1" x="236"/>
        <item x="213"/>
        <item x="55"/>
        <item x="89"/>
        <item x="180"/>
        <item x="199"/>
        <item x="148"/>
        <item x="149"/>
        <item x="200"/>
        <item x="196"/>
        <item x="209"/>
        <item x="172"/>
        <item m="1" x="232"/>
        <item m="1" x="226"/>
        <item x="9"/>
        <item x="10"/>
        <item x="19"/>
        <item x="23"/>
        <item x="31"/>
        <item x="38"/>
        <item x="47"/>
        <item x="49"/>
        <item x="52"/>
        <item x="56"/>
        <item x="57"/>
        <item x="81"/>
        <item x="84"/>
        <item x="90"/>
        <item x="93"/>
        <item x="143"/>
        <item x="162"/>
        <item x="166"/>
        <item x="167"/>
        <item x="168"/>
        <item x="185"/>
        <item x="186"/>
        <item x="187"/>
        <item x="188"/>
        <item x="198"/>
        <item x="45"/>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multipleItemSelectionAllowed="1" showAll="0">
      <items count="5">
        <item h="1" x="3"/>
        <item h="1" x="1"/>
        <item h="1" x="0"/>
        <item x="2"/>
        <item t="default"/>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1">
        <item x="0"/>
        <item x="5"/>
        <item h="1" x="1"/>
        <item m="1" x="9"/>
        <item x="4"/>
        <item x="3"/>
        <item m="1" x="8"/>
        <item m="1" x="6"/>
        <item m="1" x="7"/>
        <item x="2"/>
        <item t="default"/>
      </items>
    </pivotField>
  </pivotFields>
  <rowFields count="3">
    <field x="1"/>
    <field x="20"/>
    <field x="3"/>
  </rowFields>
  <rowItems count="30">
    <i>
      <x/>
      <x/>
      <x v="246"/>
    </i>
    <i t="default" r="1">
      <x/>
    </i>
    <i t="default">
      <x/>
    </i>
    <i>
      <x v="1"/>
      <x/>
      <x v="19"/>
    </i>
    <i r="2">
      <x v="30"/>
    </i>
    <i r="2">
      <x v="31"/>
    </i>
    <i r="2">
      <x v="34"/>
    </i>
    <i r="2">
      <x v="35"/>
    </i>
    <i r="2">
      <x v="103"/>
    </i>
    <i r="2">
      <x v="106"/>
    </i>
    <i r="2">
      <x v="107"/>
    </i>
    <i r="2">
      <x v="108"/>
    </i>
    <i r="2">
      <x v="110"/>
    </i>
    <i r="2">
      <x v="125"/>
    </i>
    <i r="2">
      <x v="126"/>
    </i>
    <i r="2">
      <x v="128"/>
    </i>
    <i r="2">
      <x v="130"/>
    </i>
    <i r="2">
      <x v="157"/>
    </i>
    <i r="2">
      <x v="179"/>
    </i>
    <i r="2">
      <x v="193"/>
    </i>
    <i r="2">
      <x v="198"/>
    </i>
    <i r="2">
      <x v="210"/>
    </i>
    <i r="2">
      <x v="248"/>
    </i>
    <i t="default" r="1">
      <x/>
    </i>
    <i r="1">
      <x v="4"/>
      <x v="247"/>
    </i>
    <i t="default" r="1">
      <x v="4"/>
    </i>
    <i r="1">
      <x v="9"/>
      <x v="81"/>
    </i>
    <i t="default" r="1">
      <x v="9"/>
    </i>
    <i t="default">
      <x v="1"/>
    </i>
    <i t="grand">
      <x/>
    </i>
  </rowItems>
  <colFields count="1">
    <field x="-2"/>
  </colFields>
  <colItems count="4">
    <i>
      <x/>
    </i>
    <i i="1">
      <x v="1"/>
    </i>
    <i i="2">
      <x v="2"/>
    </i>
    <i i="3">
      <x v="3"/>
    </i>
  </colItems>
  <pageFields count="1">
    <pageField fld="12" hier="-1"/>
  </pageFields>
  <dataFields count="4">
    <dataField name="Suma de VALOR ESTIMADO" fld="4" baseField="0" baseItem="0" numFmtId="42"/>
    <dataField name="Suma de VALOR CONTRATADO" fld="14" baseField="0" baseItem="0"/>
    <dataField name="Suma de DIFERENCIA" fld="15" baseField="0" baseItem="0"/>
    <dataField name="Cuenta de VALOR ESTIMADO2" fld="4" subtotal="count" baseField="20" baseItem="4" numFmtId="41"/>
  </dataFields>
  <formats count="19">
    <format dxfId="26">
      <pivotArea outline="0" collapsedLevelsAreSubtotals="1" fieldPosition="0"/>
    </format>
    <format dxfId="25">
      <pivotArea outline="0" collapsedLevelsAreSubtotals="1" fieldPosition="0">
        <references count="1">
          <reference field="4294967294" count="1" selected="0">
            <x v="3"/>
          </reference>
        </references>
      </pivotArea>
    </format>
    <format dxfId="24">
      <pivotArea outline="0" collapsedLevelsAreSubtotals="1" fieldPosition="0">
        <references count="1">
          <reference field="4294967294" count="1" selected="0">
            <x v="3"/>
          </reference>
        </references>
      </pivotArea>
    </format>
    <format dxfId="23">
      <pivotArea outline="0" collapsedLevelsAreSubtotals="1" fieldPosition="0">
        <references count="1">
          <reference field="4294967294" count="1" selected="0">
            <x v="3"/>
          </reference>
        </references>
      </pivotArea>
    </format>
    <format dxfId="22">
      <pivotArea outline="0" collapsedLevelsAreSubtotals="1" fieldPosition="0">
        <references count="1">
          <reference field="4294967294" count="1" selected="0">
            <x v="3"/>
          </reference>
        </references>
      </pivotArea>
    </format>
    <format dxfId="21">
      <pivotArea field="1" type="button" dataOnly="0" labelOnly="1" outline="0" axis="axisRow" fieldPosition="0"/>
    </format>
    <format dxfId="20">
      <pivotArea dataOnly="0" labelOnly="1" outline="0" fieldPosition="0">
        <references count="1">
          <reference field="4294967294" count="3">
            <x v="0"/>
            <x v="2"/>
            <x v="3"/>
          </reference>
        </references>
      </pivotArea>
    </format>
    <format dxfId="19">
      <pivotArea field="12" type="button" dataOnly="0" labelOnly="1" outline="0" axis="axisPage" fieldPosition="0"/>
    </format>
    <format dxfId="18">
      <pivotArea type="origin" dataOnly="0" labelOnly="1" outline="0" fieldPosition="0"/>
    </format>
    <format dxfId="17">
      <pivotArea field="1" type="button" dataOnly="0" labelOnly="1" outline="0" axis="axisRow" fieldPosition="0"/>
    </format>
    <format dxfId="16">
      <pivotArea dataOnly="0" labelOnly="1" outline="0" fieldPosition="0">
        <references count="1">
          <reference field="1" count="1">
            <x v="1"/>
          </reference>
        </references>
      </pivotArea>
    </format>
    <format dxfId="15">
      <pivotArea dataOnly="0" labelOnly="1" outline="0" fieldPosition="0">
        <references count="1">
          <reference field="1" count="1" defaultSubtotal="1">
            <x v="1"/>
          </reference>
        </references>
      </pivotArea>
    </format>
    <format dxfId="14">
      <pivotArea dataOnly="0" labelOnly="1" grandRow="1" outline="0" fieldPosition="0"/>
    </format>
    <format dxfId="13">
      <pivotArea field="12" type="button" dataOnly="0" labelOnly="1" outline="0" axis="axisPage" fieldPosition="0"/>
    </format>
    <format dxfId="12">
      <pivotArea type="origin" dataOnly="0" labelOnly="1" outline="0" fieldPosition="0"/>
    </format>
    <format dxfId="11">
      <pivotArea field="1" type="button" dataOnly="0" labelOnly="1" outline="0" axis="axisRow" fieldPosition="0"/>
    </format>
    <format dxfId="10">
      <pivotArea dataOnly="0" labelOnly="1" outline="0" fieldPosition="0">
        <references count="1">
          <reference field="1" count="1">
            <x v="1"/>
          </reference>
        </references>
      </pivotArea>
    </format>
    <format dxfId="9">
      <pivotArea dataOnly="0" labelOnly="1" outline="0" fieldPosition="0">
        <references count="1">
          <reference field="1" count="1" defaultSubtotal="1">
            <x v="1"/>
          </reference>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FE69E26-F8BD-42AF-9E10-41A97ABE03AF}"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I22" firstHeaderRow="1" firstDataRow="2" firstDataCol="7" rowPageCount="1" colPageCount="1"/>
  <pivotFields count="21">
    <pivotField axis="axisRow" dataField="1" compact="0" outline="0" subtotalTop="0" showAll="0" defaultSubtotal="0">
      <items count="254">
        <item x="0"/>
        <item x="1"/>
        <item x="2"/>
        <item x="3"/>
        <item x="4"/>
        <item x="5"/>
        <item x="6"/>
        <item x="7"/>
        <item x="8"/>
        <item x="9"/>
        <item x="10"/>
        <item x="11"/>
        <item x="27"/>
        <item x="28"/>
        <item x="29"/>
        <item x="30"/>
        <item x="31"/>
        <item x="32"/>
        <item x="33"/>
        <item x="34"/>
        <item x="49"/>
        <item x="50"/>
        <item x="51"/>
        <item x="52"/>
        <item x="53"/>
        <item x="57"/>
        <item x="58"/>
        <item x="59"/>
        <item x="60"/>
        <item x="61"/>
        <item x="62"/>
        <item x="63"/>
        <item x="82"/>
        <item x="83"/>
        <item x="84"/>
        <item x="85"/>
        <item x="86"/>
        <item x="87"/>
        <item x="88"/>
        <item x="110"/>
        <item x="111"/>
        <item x="112"/>
        <item x="113"/>
        <item x="114"/>
        <item x="115"/>
        <item x="116"/>
        <item x="117"/>
        <item x="118"/>
        <item x="119"/>
        <item x="120"/>
        <item x="121"/>
        <item x="122"/>
        <item x="123"/>
        <item x="124"/>
        <item x="125"/>
        <item x="126"/>
        <item x="127"/>
        <item x="128"/>
        <item x="129"/>
        <item x="130"/>
        <item x="131"/>
        <item x="132"/>
        <item x="164"/>
        <item x="165"/>
        <item x="166"/>
        <item x="167"/>
        <item x="168"/>
        <item x="170"/>
        <item x="173"/>
        <item x="174"/>
        <item x="175"/>
        <item x="176"/>
        <item x="177"/>
        <item x="178"/>
        <item x="180"/>
        <item x="181"/>
        <item x="182"/>
        <item x="185"/>
        <item x="186"/>
        <item x="189"/>
        <item x="190"/>
        <item x="191"/>
        <item x="192"/>
        <item x="193"/>
        <item x="194"/>
        <item x="133"/>
        <item x="195"/>
        <item x="134"/>
        <item x="12"/>
        <item x="13"/>
        <item x="14"/>
        <item x="15"/>
        <item x="16"/>
        <item x="17"/>
        <item x="35"/>
        <item x="36"/>
        <item x="37"/>
        <item x="54"/>
        <item x="64"/>
        <item x="65"/>
        <item x="66"/>
        <item x="89"/>
        <item x="90"/>
        <item x="91"/>
        <item x="92"/>
        <item x="93"/>
        <item x="94"/>
        <item x="95"/>
        <item x="96"/>
        <item x="97"/>
        <item x="98"/>
        <item x="99"/>
        <item x="100"/>
        <item x="101"/>
        <item x="102"/>
        <item x="103"/>
        <item x="135"/>
        <item x="136"/>
        <item x="196"/>
        <item x="38"/>
        <item x="171"/>
        <item x="187"/>
        <item x="137"/>
        <item x="55"/>
        <item x="18"/>
        <item x="19"/>
        <item x="20"/>
        <item x="21"/>
        <item x="22"/>
        <item x="23"/>
        <item x="24"/>
        <item x="25"/>
        <item x="26"/>
        <item x="39"/>
        <item x="40"/>
        <item x="41"/>
        <item x="42"/>
        <item x="43"/>
        <item x="44"/>
        <item x="45"/>
        <item x="46"/>
        <item x="56"/>
        <item x="67"/>
        <item x="47"/>
        <item x="68"/>
        <item x="69"/>
        <item x="70"/>
        <item x="71"/>
        <item x="72"/>
        <item x="73"/>
        <item x="74"/>
        <item x="104"/>
        <item x="105"/>
        <item x="106"/>
        <item x="107"/>
        <item x="108"/>
        <item x="109"/>
        <item x="138"/>
        <item x="139"/>
        <item x="140"/>
        <item x="141"/>
        <item x="142"/>
        <item x="143"/>
        <item x="144"/>
        <item x="145"/>
        <item x="146"/>
        <item x="147"/>
        <item x="148"/>
        <item x="149"/>
        <item x="150"/>
        <item x="75"/>
        <item x="76"/>
        <item x="77"/>
        <item x="151"/>
        <item x="152"/>
        <item x="153"/>
        <item x="154"/>
        <item x="155"/>
        <item x="156"/>
        <item x="169"/>
        <item x="179"/>
        <item x="78"/>
        <item x="79"/>
        <item x="157"/>
        <item x="188"/>
        <item x="158"/>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159"/>
        <item x="160"/>
        <item x="161"/>
        <item x="162"/>
        <item x="48"/>
        <item x="80"/>
        <item x="81"/>
        <item x="163"/>
        <item x="183"/>
        <item x="184"/>
        <item x="172"/>
      </items>
    </pivotField>
    <pivotField axis="axisRow" compact="0" outline="0" subtotalTop="0" showAll="0">
      <items count="9">
        <item x="3"/>
        <item h="1" x="5"/>
        <item h="1" x="6"/>
        <item x="4"/>
        <item x="2"/>
        <item x="1"/>
        <item x="0"/>
        <item x="7"/>
        <item t="default"/>
      </items>
    </pivotField>
    <pivotField compact="0" outline="0" subtotalTop="0" showAll="0"/>
    <pivotField axis="axisRow" compact="0" outline="0" subtotalTop="0" showAll="0" defaultSubtotal="0">
      <items count="282">
        <item x="154"/>
        <item x="43"/>
        <item x="211"/>
        <item x="96"/>
        <item x="17"/>
        <item x="66"/>
        <item x="94"/>
        <item x="107"/>
        <item x="74"/>
        <item x="218"/>
        <item x="220"/>
        <item x="190"/>
        <item x="192"/>
        <item x="201"/>
        <item x="203"/>
        <item x="156"/>
        <item x="146"/>
        <item x="135"/>
        <item x="128"/>
        <item x="196"/>
        <item x="215"/>
        <item x="172"/>
        <item x="149"/>
        <item x="150"/>
        <item x="99"/>
        <item x="1"/>
        <item x="72"/>
        <item x="67"/>
        <item x="57"/>
        <item x="145"/>
        <item x="58"/>
        <item x="219"/>
        <item x="206"/>
        <item x="210"/>
        <item x="69"/>
        <item x="60"/>
        <item x="159"/>
        <item x="2"/>
        <item x="70"/>
        <item x="213"/>
        <item x="81"/>
        <item x="4"/>
        <item x="26"/>
        <item x="12"/>
        <item x="34"/>
        <item x="77"/>
        <item x="205"/>
        <item x="143"/>
        <item x="214"/>
        <item x="200"/>
        <item x="209"/>
        <item x="202"/>
        <item x="216"/>
        <item x="204"/>
        <item m="1" x="277"/>
        <item x="13"/>
        <item x="217"/>
        <item x="73"/>
        <item x="168"/>
        <item x="42"/>
        <item x="169"/>
        <item x="124"/>
        <item x="126"/>
        <item x="127"/>
        <item x="36"/>
        <item x="115"/>
        <item x="16"/>
        <item x="188"/>
        <item x="59"/>
        <item x="18"/>
        <item x="189"/>
        <item x="0"/>
        <item x="41"/>
        <item x="14"/>
        <item x="15"/>
        <item x="157"/>
        <item x="160"/>
        <item m="1" x="251"/>
        <item x="164"/>
        <item x="163"/>
        <item x="158"/>
        <item x="133"/>
        <item x="162"/>
        <item x="131"/>
        <item x="65"/>
        <item x="100"/>
        <item x="116"/>
        <item x="105"/>
        <item x="79"/>
        <item x="119"/>
        <item x="112"/>
        <item x="130"/>
        <item x="129"/>
        <item x="44"/>
        <item x="25"/>
        <item x="71"/>
        <item x="102"/>
        <item x="104"/>
        <item x="103"/>
        <item x="101"/>
        <item x="109"/>
        <item x="68"/>
        <item x="98"/>
        <item x="61"/>
        <item x="136"/>
        <item x="64"/>
        <item x="95"/>
        <item x="7"/>
        <item x="6"/>
        <item x="153"/>
        <item x="113"/>
        <item x="123"/>
        <item x="40"/>
        <item x="117"/>
        <item x="97"/>
        <item x="114"/>
        <item x="3"/>
        <item x="5"/>
        <item x="191"/>
        <item x="155"/>
        <item x="33"/>
        <item x="151"/>
        <item x="93"/>
        <item x="29"/>
        <item x="11"/>
        <item x="106"/>
        <item x="108"/>
        <item x="110"/>
        <item x="111"/>
        <item x="45"/>
        <item x="63"/>
        <item x="32"/>
        <item x="138"/>
        <item x="62"/>
        <item x="22"/>
        <item x="47"/>
        <item x="21"/>
        <item x="8"/>
        <item x="20"/>
        <item x="140"/>
        <item x="193"/>
        <item x="39"/>
        <item x="50"/>
        <item x="134"/>
        <item x="75"/>
        <item x="28"/>
        <item x="54"/>
        <item x="198"/>
        <item x="147"/>
        <item x="148"/>
        <item x="199"/>
        <item x="195"/>
        <item x="208"/>
        <item m="1" x="259"/>
        <item x="30"/>
        <item x="76"/>
        <item x="78"/>
        <item x="84"/>
        <item x="85"/>
        <item x="86"/>
        <item x="87"/>
        <item x="88"/>
        <item x="141"/>
        <item x="144"/>
        <item x="152"/>
        <item x="173"/>
        <item x="174"/>
        <item x="176"/>
        <item x="177"/>
        <item x="178"/>
        <item x="179"/>
        <item x="180"/>
        <item x="207"/>
        <item x="27"/>
        <item x="49"/>
        <item x="52"/>
        <item x="82"/>
        <item x="132"/>
        <item x="175"/>
        <item x="194"/>
        <item x="35"/>
        <item x="37"/>
        <item x="53"/>
        <item x="90"/>
        <item x="91"/>
        <item x="118"/>
        <item x="181"/>
        <item x="212"/>
        <item m="1" x="245"/>
        <item x="24"/>
        <item x="120"/>
        <item x="121"/>
        <item x="122"/>
        <item x="125"/>
        <item x="137"/>
        <item x="139"/>
        <item x="170"/>
        <item x="182"/>
        <item x="183"/>
        <item x="221"/>
        <item x="222"/>
        <item x="223"/>
        <item m="1" x="263"/>
        <item m="1" x="269"/>
        <item m="1" x="281"/>
        <item m="1" x="250"/>
        <item x="225"/>
        <item m="1" x="275"/>
        <item m="1" x="257"/>
        <item m="1" x="279"/>
        <item m="1" x="258"/>
        <item m="1" x="244"/>
        <item m="1" x="261"/>
        <item m="1" x="246"/>
        <item m="1" x="262"/>
        <item m="1" x="247"/>
        <item m="1" x="266"/>
        <item m="1" x="267"/>
        <item m="1" x="268"/>
        <item m="1" x="270"/>
        <item m="1" x="271"/>
        <item m="1" x="272"/>
        <item m="1" x="274"/>
        <item m="1" x="276"/>
        <item m="1" x="278"/>
        <item m="1" x="280"/>
        <item m="1" x="252"/>
        <item m="1" x="253"/>
        <item m="1" x="254"/>
        <item x="227"/>
        <item x="228"/>
        <item x="229"/>
        <item m="1" x="255"/>
        <item m="1" x="256"/>
        <item m="1" x="260"/>
        <item m="1" x="264"/>
        <item m="1" x="265"/>
        <item x="231"/>
        <item x="232"/>
        <item x="233"/>
        <item x="234"/>
        <item x="235"/>
        <item x="236"/>
        <item x="237"/>
        <item x="238"/>
        <item x="239"/>
        <item x="240"/>
        <item x="241"/>
        <item x="242"/>
        <item x="243"/>
        <item m="1" x="249"/>
        <item x="171"/>
        <item x="184"/>
        <item m="1" x="273"/>
        <item x="186"/>
        <item x="9"/>
        <item x="10"/>
        <item x="19"/>
        <item x="23"/>
        <item x="31"/>
        <item x="38"/>
        <item x="46"/>
        <item x="48"/>
        <item m="1" x="248"/>
        <item x="55"/>
        <item x="56"/>
        <item x="80"/>
        <item x="92"/>
        <item x="185"/>
        <item x="187"/>
        <item x="51"/>
        <item x="83"/>
        <item x="89"/>
        <item x="142"/>
        <item x="161"/>
        <item x="165"/>
        <item x="166"/>
        <item x="167"/>
        <item x="197"/>
        <item x="224"/>
        <item x="226"/>
        <item x="230"/>
      </items>
    </pivotField>
    <pivotField axis="axisRow" compact="0" outline="0" subtotalTop="0" showAll="0" defaultSubtotal="0">
      <items count="178">
        <item x="1"/>
        <item x="134"/>
        <item x="40"/>
        <item x="115"/>
        <item x="21"/>
        <item x="91"/>
        <item x="122"/>
        <item x="130"/>
        <item x="114"/>
        <item x="52"/>
        <item x="46"/>
        <item x="81"/>
        <item x="119"/>
        <item x="74"/>
        <item x="11"/>
        <item m="1" x="173"/>
        <item x="87"/>
        <item x="31"/>
        <item x="62"/>
        <item x="76"/>
        <item x="65"/>
        <item x="14"/>
        <item x="29"/>
        <item x="82"/>
        <item x="67"/>
        <item x="71"/>
        <item x="84"/>
        <item x="3"/>
        <item x="23"/>
        <item x="56"/>
        <item x="111"/>
        <item x="72"/>
        <item x="123"/>
        <item x="88"/>
        <item x="61"/>
        <item x="12"/>
        <item m="1" x="165"/>
        <item x="86"/>
        <item x="116"/>
        <item x="6"/>
        <item x="45"/>
        <item x="43"/>
        <item x="39"/>
        <item m="1" x="152"/>
        <item x="66"/>
        <item m="1" x="175"/>
        <item x="41"/>
        <item x="4"/>
        <item x="64"/>
        <item m="1" x="156"/>
        <item x="92"/>
        <item x="90"/>
        <item x="24"/>
        <item m="1" x="162"/>
        <item x="51"/>
        <item x="73"/>
        <item x="22"/>
        <item x="42"/>
        <item x="70"/>
        <item x="63"/>
        <item x="89"/>
        <item x="9"/>
        <item x="2"/>
        <item x="85"/>
        <item x="5"/>
        <item x="110"/>
        <item x="108"/>
        <item x="16"/>
        <item x="120"/>
        <item x="8"/>
        <item x="48"/>
        <item x="50"/>
        <item x="80"/>
        <item m="1" x="155"/>
        <item x="10"/>
        <item x="69"/>
        <item m="1" x="166"/>
        <item m="1" x="160"/>
        <item x="18"/>
        <item m="1" x="170"/>
        <item x="15"/>
        <item x="20"/>
        <item x="55"/>
        <item x="95"/>
        <item x="96"/>
        <item x="97"/>
        <item x="143"/>
        <item x="99"/>
        <item x="100"/>
        <item m="1" x="163"/>
        <item m="1" x="154"/>
        <item sd="0" m="1" x="158"/>
        <item x="124"/>
        <item x="125"/>
        <item x="126"/>
        <item x="127"/>
        <item x="128"/>
        <item x="129"/>
        <item x="131"/>
        <item m="1" x="174"/>
        <item x="36"/>
        <item x="53"/>
        <item x="25"/>
        <item m="1" x="171"/>
        <item m="1" x="153"/>
        <item m="1" x="157"/>
        <item x="58"/>
        <item x="68"/>
        <item x="17"/>
        <item x="121"/>
        <item x="132"/>
        <item x="133"/>
        <item m="1" x="167"/>
        <item x="101"/>
        <item x="135"/>
        <item x="136"/>
        <item x="137"/>
        <item x="138"/>
        <item x="139"/>
        <item m="1" x="168"/>
        <item x="141"/>
        <item x="142"/>
        <item x="144"/>
        <item x="145"/>
        <item x="146"/>
        <item m="1" x="176"/>
        <item x="149"/>
        <item x="150"/>
        <item x="151"/>
        <item x="79"/>
        <item x="83"/>
        <item m="1" x="161"/>
        <item x="102"/>
        <item m="1" x="172"/>
        <item m="1" x="169"/>
        <item x="106"/>
        <item x="0"/>
        <item x="7"/>
        <item x="13"/>
        <item x="19"/>
        <item x="26"/>
        <item x="27"/>
        <item x="28"/>
        <item x="30"/>
        <item x="32"/>
        <item x="33"/>
        <item x="34"/>
        <item x="35"/>
        <item x="37"/>
        <item x="38"/>
        <item x="44"/>
        <item m="1" x="177"/>
        <item x="49"/>
        <item x="59"/>
        <item x="60"/>
        <item m="1" x="159"/>
        <item x="98"/>
        <item m="1" x="164"/>
        <item x="105"/>
        <item x="107"/>
        <item x="109"/>
        <item x="113"/>
        <item x="47"/>
        <item x="54"/>
        <item x="57"/>
        <item x="75"/>
        <item x="77"/>
        <item x="78"/>
        <item x="93"/>
        <item x="94"/>
        <item x="103"/>
        <item x="104"/>
        <item x="112"/>
        <item x="117"/>
        <item x="118"/>
        <item x="140"/>
        <item x="147"/>
        <item x="148"/>
      </items>
    </pivotField>
    <pivotField compact="0" outline="0" subtotalTop="0" showAll="0"/>
    <pivotField axis="axisPage" compact="0" outline="0" subtotalTop="0" multipleItemSelectionAllowed="1" showAll="0">
      <items count="4">
        <item x="1"/>
        <item x="0"/>
        <item h="1" x="2"/>
        <item t="default"/>
      </items>
    </pivotField>
    <pivotField axis="axisRow" compact="0" outline="0" subtotalTop="0" showAll="0" defaultSubtotal="0">
      <items count="10">
        <item x="8"/>
        <item x="5"/>
        <item x="0"/>
        <item x="2"/>
        <item x="4"/>
        <item x="3"/>
        <item x="1"/>
        <item x="6"/>
        <item x="7"/>
        <item x="9"/>
      </items>
    </pivotField>
    <pivotField axis="axisRow" compact="0" outline="0" subtotalTop="0" showAll="0" defaultSubtotal="0">
      <items count="13">
        <item x="10"/>
        <item x="6"/>
        <item x="5"/>
        <item x="9"/>
        <item x="4"/>
        <item x="8"/>
        <item x="2"/>
        <item x="1"/>
        <item x="0"/>
        <item x="3"/>
        <item x="7"/>
        <item x="11"/>
        <item x="12"/>
      </items>
    </pivotField>
    <pivotField compact="0" outline="0" subtotalTop="0" showAll="0"/>
    <pivotField compact="0" outline="0" showAll="0" defaultSubtotal="0"/>
    <pivotField compact="0" outline="0" subtotalTop="0" showAll="0"/>
    <pivotField compact="0" outline="0" subtotalTop="0" showAll="0" defaultSubtotal="0">
      <items count="4">
        <item x="3"/>
        <item x="1"/>
        <item x="0"/>
        <item x="2"/>
      </items>
    </pivotField>
    <pivotField compact="0" outline="0" subtotalTop="0" showAll="0"/>
    <pivotField compact="0" outline="0" subtotalTop="0" showAll="0"/>
    <pivotField compact="0" outline="0" subtotalTop="0" showAll="0"/>
    <pivotField compact="0" outline="0" showAll="0"/>
    <pivotField compact="0" outline="0" showAll="0"/>
    <pivotField axis="axisCol" compact="0" outline="0" showAll="0">
      <items count="14">
        <item h="1" x="2"/>
        <item h="1" x="0"/>
        <item h="1" x="5"/>
        <item h="1" x="3"/>
        <item h="1" x="12"/>
        <item h="1" x="11"/>
        <item n="Julio" h="1" x="7"/>
        <item n="Agosto" h="1" x="8"/>
        <item h="1" x="10"/>
        <item h="1" x="9"/>
        <item x="4"/>
        <item h="1" x="6"/>
        <item h="1" x="1"/>
        <item t="default"/>
      </items>
    </pivotField>
    <pivotField compact="0" outline="0" showAll="0"/>
    <pivotField axis="axisRow" compact="0" outline="0" showAll="0" defaultSubtotal="0">
      <items count="11">
        <item x="0"/>
        <item x="4"/>
        <item x="3"/>
        <item m="1" x="6"/>
        <item x="1"/>
        <item m="1" x="7"/>
        <item m="1" x="10"/>
        <item m="1" x="9"/>
        <item m="1" x="8"/>
        <item x="5"/>
        <item x="2"/>
      </items>
    </pivotField>
  </pivotFields>
  <rowFields count="7">
    <field x="1"/>
    <field x="20"/>
    <field x="7"/>
    <field x="8"/>
    <field x="0"/>
    <field x="3"/>
    <field x="4"/>
  </rowFields>
  <rowItems count="18">
    <i>
      <x/>
      <x/>
      <x v="2"/>
      <x v="8"/>
      <x v="248"/>
      <x v="265"/>
      <x v="153"/>
    </i>
    <i r="2">
      <x v="8"/>
      <x v="9"/>
      <x v="249"/>
      <x v="267"/>
      <x v="154"/>
    </i>
    <i r="1">
      <x v="2"/>
      <x v="2"/>
      <x v="8"/>
      <x v="146"/>
      <x v="266"/>
      <x v="9"/>
    </i>
    <i t="default">
      <x/>
    </i>
    <i>
      <x v="3"/>
      <x/>
      <x v="2"/>
      <x v="8"/>
      <x v="156"/>
      <x v="192"/>
      <x v="108"/>
    </i>
    <i t="default">
      <x v="3"/>
    </i>
    <i>
      <x v="5"/>
      <x/>
      <x v="2"/>
      <x v="1"/>
      <x v="143"/>
      <x v="264"/>
      <x v="148"/>
    </i>
    <i r="3">
      <x v="8"/>
      <x v="17"/>
      <x v="260"/>
      <x v="140"/>
    </i>
    <i r="4">
      <x v="137"/>
      <x v="270"/>
      <x v="146"/>
    </i>
    <i r="4">
      <x v="247"/>
      <x v="265"/>
      <x v="149"/>
    </i>
    <i r="1">
      <x v="2"/>
      <x v="2"/>
      <x v="4"/>
      <x v="12"/>
      <x v="259"/>
      <x v="80"/>
    </i>
    <i r="3">
      <x v="8"/>
      <x v="135"/>
      <x v="262"/>
      <x v="144"/>
    </i>
    <i t="default">
      <x v="5"/>
    </i>
    <i>
      <x v="6"/>
      <x/>
      <x v="2"/>
      <x v="8"/>
      <x v="8"/>
      <x v="255"/>
      <x v="137"/>
    </i>
    <i r="4">
      <x v="9"/>
      <x v="256"/>
      <x v="137"/>
    </i>
    <i r="1">
      <x v="1"/>
      <x v="2"/>
      <x v="1"/>
      <x v="143"/>
      <x v="264"/>
      <x v="152"/>
    </i>
    <i t="default">
      <x v="6"/>
    </i>
    <i t="grand">
      <x/>
    </i>
  </rowItems>
  <colFields count="1">
    <field x="18"/>
  </colFields>
  <colItems count="2">
    <i>
      <x v="10"/>
    </i>
    <i t="grand">
      <x/>
    </i>
  </colItems>
  <pageFields count="1">
    <pageField fld="6" hier="-1"/>
  </pageFields>
  <dataFields count="1">
    <dataField name="Cuenta de No. PROCESO" fld="0" subtotal="count" baseField="0" baseItem="0"/>
  </dataFields>
  <formats count="8">
    <format dxfId="7">
      <pivotArea type="origin" dataOnly="0" labelOnly="1" outline="0" fieldPosition="0"/>
    </format>
    <format dxfId="6">
      <pivotArea field="12" type="button" dataOnly="0" labelOnly="1" outline="0"/>
    </format>
    <format dxfId="5">
      <pivotArea dataOnly="0" labelOnly="1" grandRow="1" outline="0" fieldPosition="0"/>
    </format>
    <format dxfId="4">
      <pivotArea dataOnly="0" outline="0" fieldPosition="0">
        <references count="1">
          <reference field="20" count="0" defaultSubtotal="1"/>
        </references>
      </pivotArea>
    </format>
    <format dxfId="3">
      <pivotArea dataOnly="0" outline="0" fieldPosition="0">
        <references count="1">
          <reference field="20" count="0" defaultSubtotal="1"/>
        </references>
      </pivotArea>
    </format>
    <format dxfId="2">
      <pivotArea dataOnly="0" outline="0" fieldPosition="0">
        <references count="1">
          <reference field="20" count="0" defaultSubtotal="1"/>
        </references>
      </pivotArea>
    </format>
    <format dxfId="1">
      <pivotArea dataOnly="0" labelOnly="1" outline="0" fieldPosition="0">
        <references count="1">
          <reference field="18" count="0"/>
        </references>
      </pivotArea>
    </format>
    <format dxfId="0">
      <pivotArea dataOnly="0" labelOnly="1" outline="0"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opLeftCell="B10" workbookViewId="0">
      <selection activeCell="E35" sqref="E35:E38"/>
    </sheetView>
  </sheetViews>
  <sheetFormatPr baseColWidth="10" defaultColWidth="11.42578125" defaultRowHeight="15" x14ac:dyDescent="0.25"/>
  <cols>
    <col min="1" max="1" width="58.42578125" style="25" customWidth="1"/>
    <col min="2" max="2" width="102.7109375" style="25" customWidth="1"/>
    <col min="3" max="4" width="11.42578125" style="25"/>
    <col min="5" max="5" width="51" style="25" customWidth="1"/>
    <col min="6" max="16384" width="11.42578125" style="25"/>
  </cols>
  <sheetData>
    <row r="1" spans="2:5" ht="15.75" thickTop="1" x14ac:dyDescent="0.25">
      <c r="B1" s="24" t="s">
        <v>20</v>
      </c>
      <c r="E1" s="26" t="s">
        <v>37</v>
      </c>
    </row>
    <row r="2" spans="2:5" x14ac:dyDescent="0.25">
      <c r="B2" s="27" t="s">
        <v>7</v>
      </c>
      <c r="E2" s="28" t="s">
        <v>36</v>
      </c>
    </row>
    <row r="3" spans="2:5" x14ac:dyDescent="0.25">
      <c r="B3" s="27" t="s">
        <v>8</v>
      </c>
      <c r="E3" s="29" t="s">
        <v>19</v>
      </c>
    </row>
    <row r="4" spans="2:5" x14ac:dyDescent="0.25">
      <c r="B4" s="27" t="s">
        <v>9</v>
      </c>
      <c r="E4" s="29" t="s">
        <v>3</v>
      </c>
    </row>
    <row r="5" spans="2:5" ht="30" x14ac:dyDescent="0.25">
      <c r="B5" s="27" t="s">
        <v>10</v>
      </c>
      <c r="E5" s="29" t="s">
        <v>4</v>
      </c>
    </row>
    <row r="6" spans="2:5" x14ac:dyDescent="0.25">
      <c r="B6" s="27" t="s">
        <v>11</v>
      </c>
      <c r="E6" s="29" t="s">
        <v>1</v>
      </c>
    </row>
    <row r="7" spans="2:5" x14ac:dyDescent="0.25">
      <c r="B7" s="27" t="s">
        <v>12</v>
      </c>
      <c r="E7" s="29" t="s">
        <v>0</v>
      </c>
    </row>
    <row r="8" spans="2:5" ht="15.75" thickBot="1" x14ac:dyDescent="0.3">
      <c r="B8" s="27" t="s">
        <v>13</v>
      </c>
      <c r="E8" s="30" t="s">
        <v>5</v>
      </c>
    </row>
    <row r="9" spans="2:5" ht="16.5" thickTop="1" thickBot="1" x14ac:dyDescent="0.3">
      <c r="B9" s="27" t="s">
        <v>14</v>
      </c>
    </row>
    <row r="10" spans="2:5" ht="15.75" thickTop="1" x14ac:dyDescent="0.25">
      <c r="B10" s="27" t="s">
        <v>15</v>
      </c>
      <c r="E10" s="24" t="s">
        <v>40</v>
      </c>
    </row>
    <row r="11" spans="2:5" x14ac:dyDescent="0.25">
      <c r="B11" s="27" t="s">
        <v>16</v>
      </c>
      <c r="E11" s="28" t="s">
        <v>46</v>
      </c>
    </row>
    <row r="12" spans="2:5" x14ac:dyDescent="0.25">
      <c r="B12" s="27" t="s">
        <v>17</v>
      </c>
      <c r="E12" s="28" t="s">
        <v>44</v>
      </c>
    </row>
    <row r="13" spans="2:5" x14ac:dyDescent="0.25">
      <c r="B13" s="27" t="s">
        <v>18</v>
      </c>
      <c r="E13" s="28" t="s">
        <v>45</v>
      </c>
    </row>
    <row r="14" spans="2:5" x14ac:dyDescent="0.25">
      <c r="B14" s="29" t="s">
        <v>19</v>
      </c>
      <c r="E14" s="28" t="s">
        <v>41</v>
      </c>
    </row>
    <row r="15" spans="2:5" x14ac:dyDescent="0.25">
      <c r="B15" s="29" t="s">
        <v>3</v>
      </c>
      <c r="E15" s="28" t="s">
        <v>42</v>
      </c>
    </row>
    <row r="16" spans="2:5" ht="15.75" thickBot="1" x14ac:dyDescent="0.3">
      <c r="B16" s="29" t="s">
        <v>4</v>
      </c>
      <c r="E16" s="31" t="s">
        <v>43</v>
      </c>
    </row>
    <row r="17" spans="1:5" ht="15.75" thickTop="1" x14ac:dyDescent="0.25">
      <c r="B17" s="29" t="s">
        <v>1</v>
      </c>
    </row>
    <row r="18" spans="1:5" x14ac:dyDescent="0.25">
      <c r="B18" s="29" t="s">
        <v>0</v>
      </c>
    </row>
    <row r="19" spans="1:5" ht="15.75" thickBot="1" x14ac:dyDescent="0.3">
      <c r="B19" s="30" t="s">
        <v>5</v>
      </c>
    </row>
    <row r="20" spans="1:5" ht="15.75" thickTop="1" x14ac:dyDescent="0.25"/>
    <row r="22" spans="1:5" ht="15.75" thickBot="1" x14ac:dyDescent="0.3"/>
    <row r="23" spans="1:5" ht="15.75" thickTop="1" x14ac:dyDescent="0.25">
      <c r="B23" s="24" t="s">
        <v>30</v>
      </c>
      <c r="E23" s="24" t="s">
        <v>114</v>
      </c>
    </row>
    <row r="24" spans="1:5" x14ac:dyDescent="0.25">
      <c r="A24" s="25" t="s">
        <v>19</v>
      </c>
      <c r="B24" s="32" t="s">
        <v>31</v>
      </c>
      <c r="E24" s="28" t="s">
        <v>109</v>
      </c>
    </row>
    <row r="25" spans="1:5" x14ac:dyDescent="0.25">
      <c r="A25" s="25" t="s">
        <v>19</v>
      </c>
      <c r="B25" s="32" t="s">
        <v>32</v>
      </c>
      <c r="E25" s="28" t="s">
        <v>110</v>
      </c>
    </row>
    <row r="26" spans="1:5" x14ac:dyDescent="0.25">
      <c r="A26" s="25" t="s">
        <v>19</v>
      </c>
      <c r="B26" s="32" t="s">
        <v>21</v>
      </c>
      <c r="E26" s="28" t="s">
        <v>60</v>
      </c>
    </row>
    <row r="27" spans="1:5" ht="25.5" x14ac:dyDescent="0.25">
      <c r="A27" s="25" t="s">
        <v>19</v>
      </c>
      <c r="B27" s="32" t="s">
        <v>57</v>
      </c>
      <c r="E27" s="28" t="s">
        <v>108</v>
      </c>
    </row>
    <row r="28" spans="1:5" x14ac:dyDescent="0.25">
      <c r="A28" s="25" t="s">
        <v>3</v>
      </c>
      <c r="B28" s="32" t="s">
        <v>49</v>
      </c>
      <c r="E28" s="28" t="s">
        <v>70</v>
      </c>
    </row>
    <row r="29" spans="1:5" ht="25.5" x14ac:dyDescent="0.25">
      <c r="A29" s="25" t="s">
        <v>3</v>
      </c>
      <c r="B29" s="33" t="s">
        <v>58</v>
      </c>
      <c r="E29" s="28" t="s">
        <v>111</v>
      </c>
    </row>
    <row r="30" spans="1:5" x14ac:dyDescent="0.25">
      <c r="A30" s="25" t="s">
        <v>3</v>
      </c>
      <c r="B30" s="32" t="s">
        <v>50</v>
      </c>
      <c r="E30" s="28" t="s">
        <v>112</v>
      </c>
    </row>
    <row r="31" spans="1:5" ht="25.5" x14ac:dyDescent="0.25">
      <c r="B31" s="32" t="s">
        <v>56</v>
      </c>
      <c r="E31" s="28" t="s">
        <v>73</v>
      </c>
    </row>
    <row r="32" spans="1:5" ht="15.75" thickBot="1" x14ac:dyDescent="0.3">
      <c r="B32" s="32" t="s">
        <v>22</v>
      </c>
      <c r="E32" s="31" t="s">
        <v>113</v>
      </c>
    </row>
    <row r="33" spans="1:2" ht="15.75" thickTop="1" x14ac:dyDescent="0.25">
      <c r="A33" s="25" t="s">
        <v>4</v>
      </c>
      <c r="B33" s="32" t="s">
        <v>23</v>
      </c>
    </row>
    <row r="34" spans="1:2" x14ac:dyDescent="0.25">
      <c r="A34" s="25" t="s">
        <v>4</v>
      </c>
      <c r="B34" s="33" t="s">
        <v>24</v>
      </c>
    </row>
    <row r="35" spans="1:2" ht="25.5" x14ac:dyDescent="0.25">
      <c r="A35" s="25" t="s">
        <v>4</v>
      </c>
      <c r="B35" s="33" t="s">
        <v>33</v>
      </c>
    </row>
    <row r="36" spans="1:2" x14ac:dyDescent="0.25">
      <c r="A36" s="25" t="s">
        <v>1</v>
      </c>
      <c r="B36" s="32" t="s">
        <v>34</v>
      </c>
    </row>
    <row r="37" spans="1:2" ht="25.5" x14ac:dyDescent="0.25">
      <c r="A37" s="25" t="s">
        <v>1</v>
      </c>
      <c r="B37" s="32" t="s">
        <v>35</v>
      </c>
    </row>
    <row r="38" spans="1:2" x14ac:dyDescent="0.25">
      <c r="A38" s="25" t="s">
        <v>0</v>
      </c>
      <c r="B38" s="34" t="s">
        <v>25</v>
      </c>
    </row>
    <row r="39" spans="1:2" ht="25.5" x14ac:dyDescent="0.25">
      <c r="A39" s="25" t="s">
        <v>5</v>
      </c>
      <c r="B39" s="32" t="s">
        <v>26</v>
      </c>
    </row>
    <row r="40" spans="1:2" x14ac:dyDescent="0.25">
      <c r="A40" s="25" t="s">
        <v>5</v>
      </c>
      <c r="B40" s="32" t="s">
        <v>27</v>
      </c>
    </row>
    <row r="41" spans="1:2" x14ac:dyDescent="0.25">
      <c r="A41" s="25" t="s">
        <v>5</v>
      </c>
      <c r="B41" s="32" t="s">
        <v>28</v>
      </c>
    </row>
    <row r="42" spans="1:2" ht="15.75" thickBot="1" x14ac:dyDescent="0.3">
      <c r="A42" s="25" t="s">
        <v>5</v>
      </c>
      <c r="B42" s="35" t="s">
        <v>29</v>
      </c>
    </row>
    <row r="43" spans="1:2" ht="15.75" thickTop="1" x14ac:dyDescent="0.25"/>
  </sheetData>
  <customSheetViews>
    <customSheetView guid="{AAF2946E-7453-46F2-916B-BAC2F187BBE7}" state="hidden" topLeftCell="B7">
      <selection activeCell="B27" sqref="B27"/>
      <pageMargins left="0.7" right="0.7" top="0.75" bottom="0.75" header="0.3" footer="0.3"/>
      <pageSetup orientation="portrait" r:id="rId1"/>
    </customSheetView>
    <customSheetView guid="{BC91FB49-42C0-4693-8A12-AF7ACDEEF192}" state="hidden" topLeftCell="B7">
      <selection activeCell="B27" sqref="B27"/>
      <pageMargins left="0.7" right="0.7" top="0.75" bottom="0.75" header="0.3" footer="0.3"/>
      <pageSetup orientation="portrait" r:id="rId2"/>
    </customSheetView>
  </customSheetViews>
  <dataValidations count="1">
    <dataValidation allowBlank="1" showInputMessage="1" showErrorMessage="1" error="Seleccione una de las opciones de la celda" sqref="B24:B25 B34 B30:B32 B38:B42" xr:uid="{00000000-0002-0000-0000-000000000000}"/>
  </dataValidation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92E4-A434-41B9-8820-1F9A0F6BB937}">
  <dimension ref="A1:R37"/>
  <sheetViews>
    <sheetView view="pageBreakPreview" zoomScale="60" zoomScaleNormal="100" workbookViewId="0">
      <selection sqref="A1:H1"/>
    </sheetView>
  </sheetViews>
  <sheetFormatPr baseColWidth="10" defaultRowHeight="15" x14ac:dyDescent="0.25"/>
  <cols>
    <col min="1" max="1" width="23.42578125" customWidth="1"/>
    <col min="2" max="2" width="17.42578125" style="7" customWidth="1"/>
    <col min="3" max="3" width="13.140625" style="7" customWidth="1"/>
    <col min="4" max="4" width="13.28515625" style="7" customWidth="1"/>
    <col min="5" max="5" width="11.42578125" style="7"/>
    <col min="6" max="6" width="78.5703125" style="265" customWidth="1"/>
    <col min="7" max="7" width="20.28515625" style="6" customWidth="1"/>
  </cols>
  <sheetData>
    <row r="1" spans="1:8" ht="38.25" customHeight="1" thickBot="1" x14ac:dyDescent="0.3">
      <c r="A1" s="540" t="s">
        <v>586</v>
      </c>
      <c r="B1" s="540"/>
      <c r="C1" s="540"/>
      <c r="D1" s="540"/>
      <c r="E1" s="540"/>
      <c r="F1" s="540"/>
      <c r="G1" s="540"/>
      <c r="H1" s="540"/>
    </row>
    <row r="2" spans="1:8" ht="57.75" customHeight="1" thickTop="1" thickBot="1" x14ac:dyDescent="0.3">
      <c r="A2" s="14" t="s">
        <v>39</v>
      </c>
      <c r="B2" s="15" t="s">
        <v>368</v>
      </c>
      <c r="C2" s="15" t="s">
        <v>115</v>
      </c>
      <c r="D2" s="15" t="s">
        <v>339</v>
      </c>
      <c r="E2" s="15" t="s">
        <v>2</v>
      </c>
      <c r="F2" s="260" t="s">
        <v>119</v>
      </c>
      <c r="G2" s="253" t="s">
        <v>120</v>
      </c>
      <c r="H2" s="16" t="s">
        <v>429</v>
      </c>
    </row>
    <row r="3" spans="1:8" ht="85.5" customHeight="1" thickTop="1" x14ac:dyDescent="0.25">
      <c r="A3" s="536" t="s">
        <v>1</v>
      </c>
      <c r="B3" s="261" t="s">
        <v>369</v>
      </c>
      <c r="C3" s="7" t="s">
        <v>60</v>
      </c>
      <c r="D3" s="261" t="s">
        <v>133</v>
      </c>
      <c r="E3" s="7">
        <v>27</v>
      </c>
      <c r="F3" s="263" t="s">
        <v>326</v>
      </c>
      <c r="G3" s="6">
        <v>12600000</v>
      </c>
      <c r="H3" s="3">
        <v>1</v>
      </c>
    </row>
    <row r="4" spans="1:8" ht="49.5" customHeight="1" x14ac:dyDescent="0.25">
      <c r="A4" s="538"/>
      <c r="B4" s="261" t="s">
        <v>370</v>
      </c>
      <c r="C4" s="7" t="s">
        <v>110</v>
      </c>
      <c r="D4" s="261" t="s">
        <v>295</v>
      </c>
      <c r="E4" s="7">
        <v>182</v>
      </c>
      <c r="F4" s="263" t="s">
        <v>469</v>
      </c>
      <c r="G4" s="6">
        <v>170000000</v>
      </c>
      <c r="H4" s="3">
        <v>1</v>
      </c>
    </row>
    <row r="5" spans="1:8" ht="60" customHeight="1" x14ac:dyDescent="0.25">
      <c r="A5" s="538"/>
      <c r="B5" s="261" t="s">
        <v>370</v>
      </c>
      <c r="C5" s="7" t="s">
        <v>70</v>
      </c>
      <c r="D5" s="261" t="s">
        <v>397</v>
      </c>
      <c r="E5" s="7">
        <v>173</v>
      </c>
      <c r="F5" s="263" t="s">
        <v>396</v>
      </c>
      <c r="G5" s="6">
        <v>20000000</v>
      </c>
      <c r="H5" s="3">
        <v>1</v>
      </c>
    </row>
    <row r="6" spans="1:8" ht="71.25" customHeight="1" x14ac:dyDescent="0.25">
      <c r="A6" s="538"/>
      <c r="B6" s="261" t="s">
        <v>370</v>
      </c>
      <c r="C6" s="7" t="s">
        <v>320</v>
      </c>
      <c r="D6" s="261" t="s">
        <v>308</v>
      </c>
      <c r="E6" s="7">
        <v>149</v>
      </c>
      <c r="F6" s="263" t="s">
        <v>456</v>
      </c>
      <c r="G6" s="6">
        <v>150000000</v>
      </c>
      <c r="H6" s="3">
        <v>1</v>
      </c>
    </row>
    <row r="7" spans="1:8" ht="57.75" customHeight="1" x14ac:dyDescent="0.25">
      <c r="A7" s="539"/>
      <c r="B7" s="261" t="s">
        <v>464</v>
      </c>
      <c r="C7" s="7" t="s">
        <v>319</v>
      </c>
      <c r="D7" s="261" t="s">
        <v>471</v>
      </c>
      <c r="E7" s="7">
        <v>143</v>
      </c>
      <c r="F7" s="263" t="s">
        <v>318</v>
      </c>
      <c r="G7" s="6">
        <v>300000000</v>
      </c>
      <c r="H7" s="3">
        <v>1</v>
      </c>
    </row>
    <row r="8" spans="1:8" s="18" customFormat="1" ht="21.75" thickBot="1" x14ac:dyDescent="0.4">
      <c r="A8" s="527" t="s">
        <v>431</v>
      </c>
      <c r="B8" s="528"/>
      <c r="C8" s="528"/>
      <c r="D8" s="528"/>
      <c r="E8" s="528"/>
      <c r="F8" s="529"/>
      <c r="G8" s="530"/>
      <c r="H8" s="531">
        <v>5</v>
      </c>
    </row>
    <row r="9" spans="1:8" ht="66.75" customHeight="1" thickTop="1" x14ac:dyDescent="0.25">
      <c r="A9" s="536" t="s">
        <v>5</v>
      </c>
      <c r="B9" s="261" t="s">
        <v>369</v>
      </c>
      <c r="C9" s="7" t="s">
        <v>60</v>
      </c>
      <c r="D9" s="261" t="s">
        <v>133</v>
      </c>
      <c r="E9" s="7">
        <v>43</v>
      </c>
      <c r="F9" s="263" t="s">
        <v>267</v>
      </c>
      <c r="G9" s="6">
        <v>18000000</v>
      </c>
      <c r="H9" s="3">
        <v>1</v>
      </c>
    </row>
    <row r="10" spans="1:8" ht="60" x14ac:dyDescent="0.25">
      <c r="A10" s="538"/>
      <c r="B10" s="261" t="s">
        <v>369</v>
      </c>
      <c r="C10" s="7" t="s">
        <v>60</v>
      </c>
      <c r="D10" s="261" t="s">
        <v>133</v>
      </c>
      <c r="E10" s="7">
        <v>48</v>
      </c>
      <c r="F10" s="263" t="s">
        <v>274</v>
      </c>
      <c r="G10" s="6">
        <v>8800000</v>
      </c>
      <c r="H10" s="3">
        <v>1</v>
      </c>
    </row>
    <row r="11" spans="1:8" ht="45" x14ac:dyDescent="0.25">
      <c r="A11" s="538"/>
      <c r="B11" s="261" t="s">
        <v>369</v>
      </c>
      <c r="C11" s="7" t="s">
        <v>60</v>
      </c>
      <c r="D11" s="261" t="s">
        <v>133</v>
      </c>
      <c r="E11" s="7">
        <v>60</v>
      </c>
      <c r="F11" s="263" t="s">
        <v>268</v>
      </c>
      <c r="G11" s="6">
        <v>22750000</v>
      </c>
      <c r="H11" s="3">
        <v>1</v>
      </c>
    </row>
    <row r="12" spans="1:8" ht="30" x14ac:dyDescent="0.25">
      <c r="A12" s="538"/>
      <c r="B12" s="261" t="s">
        <v>369</v>
      </c>
      <c r="C12" s="7" t="s">
        <v>60</v>
      </c>
      <c r="D12" s="261" t="s">
        <v>133</v>
      </c>
      <c r="E12" s="7">
        <v>164</v>
      </c>
      <c r="F12" s="263" t="s">
        <v>283</v>
      </c>
      <c r="G12" s="6">
        <v>28000000</v>
      </c>
      <c r="H12" s="3">
        <v>1</v>
      </c>
    </row>
    <row r="13" spans="1:8" ht="45" x14ac:dyDescent="0.25">
      <c r="A13" s="538"/>
      <c r="B13" s="261" t="s">
        <v>369</v>
      </c>
      <c r="C13" s="7" t="s">
        <v>60</v>
      </c>
      <c r="D13" s="261" t="s">
        <v>133</v>
      </c>
      <c r="E13" s="7">
        <v>183</v>
      </c>
      <c r="F13" s="263" t="s">
        <v>465</v>
      </c>
      <c r="G13" s="6">
        <v>24000000</v>
      </c>
      <c r="H13" s="3">
        <v>1</v>
      </c>
    </row>
    <row r="14" spans="1:8" ht="45" x14ac:dyDescent="0.25">
      <c r="A14" s="538"/>
      <c r="B14" s="261" t="s">
        <v>370</v>
      </c>
      <c r="C14" s="7" t="s">
        <v>109</v>
      </c>
      <c r="D14" s="261" t="s">
        <v>308</v>
      </c>
      <c r="E14" s="7">
        <v>166</v>
      </c>
      <c r="F14" s="263" t="s">
        <v>256</v>
      </c>
      <c r="G14" s="6">
        <v>10000000</v>
      </c>
      <c r="H14" s="3">
        <v>1</v>
      </c>
    </row>
    <row r="15" spans="1:8" ht="30" x14ac:dyDescent="0.25">
      <c r="A15" s="538"/>
      <c r="B15" s="261" t="s">
        <v>370</v>
      </c>
      <c r="C15" s="7" t="s">
        <v>70</v>
      </c>
      <c r="D15" s="261" t="s">
        <v>389</v>
      </c>
      <c r="E15" s="7">
        <v>167</v>
      </c>
      <c r="F15" s="263" t="s">
        <v>352</v>
      </c>
      <c r="G15" s="6">
        <v>20000000</v>
      </c>
      <c r="H15" s="3">
        <v>1</v>
      </c>
    </row>
    <row r="16" spans="1:8" ht="60" x14ac:dyDescent="0.25">
      <c r="A16" s="539"/>
      <c r="B16" s="261" t="s">
        <v>370</v>
      </c>
      <c r="C16" s="7" t="s">
        <v>70</v>
      </c>
      <c r="D16" s="261" t="s">
        <v>308</v>
      </c>
      <c r="E16" s="7">
        <v>162</v>
      </c>
      <c r="F16" s="263" t="s">
        <v>281</v>
      </c>
      <c r="G16" s="6">
        <v>4000000</v>
      </c>
      <c r="H16" s="3">
        <v>1</v>
      </c>
    </row>
    <row r="17" spans="1:18" s="18" customFormat="1" ht="21.75" thickBot="1" x14ac:dyDescent="0.4">
      <c r="A17" s="527" t="s">
        <v>432</v>
      </c>
      <c r="B17" s="528"/>
      <c r="C17" s="528"/>
      <c r="D17" s="528"/>
      <c r="E17" s="528"/>
      <c r="F17" s="529"/>
      <c r="G17" s="530"/>
      <c r="H17" s="531">
        <v>8</v>
      </c>
    </row>
    <row r="18" spans="1:18" ht="45.75" thickTop="1" x14ac:dyDescent="0.25">
      <c r="A18" s="541" t="s">
        <v>36</v>
      </c>
      <c r="B18" s="261" t="s">
        <v>369</v>
      </c>
      <c r="C18" s="7" t="s">
        <v>60</v>
      </c>
      <c r="D18" s="261" t="s">
        <v>133</v>
      </c>
      <c r="E18" s="7">
        <v>65</v>
      </c>
      <c r="F18" s="263" t="s">
        <v>340</v>
      </c>
      <c r="G18" s="6">
        <v>26366667</v>
      </c>
      <c r="H18" s="3">
        <v>1</v>
      </c>
    </row>
    <row r="19" spans="1:18" ht="80.25" customHeight="1" x14ac:dyDescent="0.25">
      <c r="A19" s="542"/>
      <c r="B19" s="261" t="s">
        <v>369</v>
      </c>
      <c r="C19" s="7" t="s">
        <v>112</v>
      </c>
      <c r="D19" s="261" t="s">
        <v>308</v>
      </c>
      <c r="E19" s="7">
        <v>73</v>
      </c>
      <c r="F19" s="263" t="s">
        <v>266</v>
      </c>
      <c r="G19" s="6">
        <v>5000000</v>
      </c>
      <c r="H19" s="3">
        <v>1</v>
      </c>
    </row>
    <row r="20" spans="1:18" ht="60" x14ac:dyDescent="0.25">
      <c r="A20" s="542"/>
      <c r="B20" s="261" t="s">
        <v>369</v>
      </c>
      <c r="C20" s="7" t="s">
        <v>113</v>
      </c>
      <c r="D20" s="261" t="s">
        <v>308</v>
      </c>
      <c r="E20" s="7">
        <v>181</v>
      </c>
      <c r="F20" s="263" t="s">
        <v>83</v>
      </c>
      <c r="G20" s="6">
        <v>27000000</v>
      </c>
      <c r="H20" s="3">
        <v>1</v>
      </c>
    </row>
    <row r="21" spans="1:18" ht="45" x14ac:dyDescent="0.25">
      <c r="A21" s="542"/>
      <c r="B21" s="261" t="s">
        <v>370</v>
      </c>
      <c r="C21" s="7" t="s">
        <v>109</v>
      </c>
      <c r="D21" s="261" t="s">
        <v>308</v>
      </c>
      <c r="E21" s="7">
        <v>69</v>
      </c>
      <c r="F21" s="263" t="s">
        <v>80</v>
      </c>
      <c r="G21" s="6">
        <v>23300000</v>
      </c>
      <c r="H21" s="3">
        <v>1</v>
      </c>
    </row>
    <row r="22" spans="1:18" ht="30" x14ac:dyDescent="0.25">
      <c r="A22" s="543"/>
      <c r="B22" s="261" t="s">
        <v>370</v>
      </c>
      <c r="C22" s="7" t="s">
        <v>60</v>
      </c>
      <c r="D22" s="261" t="s">
        <v>308</v>
      </c>
      <c r="E22" s="7">
        <v>84</v>
      </c>
      <c r="F22" s="263" t="s">
        <v>96</v>
      </c>
      <c r="G22" s="6">
        <v>5100000</v>
      </c>
      <c r="H22" s="3">
        <v>1</v>
      </c>
    </row>
    <row r="23" spans="1:18" s="18" customFormat="1" ht="21.75" thickBot="1" x14ac:dyDescent="0.4">
      <c r="A23" s="527" t="s">
        <v>433</v>
      </c>
      <c r="B23" s="528"/>
      <c r="C23" s="528"/>
      <c r="D23" s="528"/>
      <c r="E23" s="528"/>
      <c r="F23" s="529"/>
      <c r="G23" s="530"/>
      <c r="H23" s="531">
        <v>5</v>
      </c>
    </row>
    <row r="24" spans="1:18" ht="87" customHeight="1" thickTop="1" x14ac:dyDescent="0.25">
      <c r="A24" s="536" t="s">
        <v>0</v>
      </c>
      <c r="B24" s="261" t="s">
        <v>369</v>
      </c>
      <c r="C24" s="7" t="s">
        <v>60</v>
      </c>
      <c r="D24" s="261" t="s">
        <v>133</v>
      </c>
      <c r="E24" s="7">
        <v>33</v>
      </c>
      <c r="F24" s="263" t="s">
        <v>329</v>
      </c>
      <c r="G24" s="6">
        <v>16500000</v>
      </c>
      <c r="H24" s="3">
        <v>1</v>
      </c>
    </row>
    <row r="25" spans="1:18" ht="80.25" customHeight="1" x14ac:dyDescent="0.25">
      <c r="A25" s="534"/>
      <c r="B25" s="261" t="s">
        <v>369</v>
      </c>
      <c r="C25" s="7" t="s">
        <v>60</v>
      </c>
      <c r="D25" s="261" t="s">
        <v>133</v>
      </c>
      <c r="E25" s="7">
        <v>107</v>
      </c>
      <c r="F25" s="263" t="s">
        <v>332</v>
      </c>
      <c r="G25" s="6">
        <v>15000000</v>
      </c>
      <c r="H25" s="3">
        <v>1</v>
      </c>
    </row>
    <row r="26" spans="1:18" ht="82.5" customHeight="1" x14ac:dyDescent="0.25">
      <c r="A26" s="534"/>
      <c r="B26" s="261" t="s">
        <v>369</v>
      </c>
      <c r="C26" s="7" t="s">
        <v>60</v>
      </c>
      <c r="D26" s="261" t="s">
        <v>133</v>
      </c>
      <c r="E26" s="7">
        <v>153</v>
      </c>
      <c r="F26" s="263" t="s">
        <v>479</v>
      </c>
      <c r="G26" s="6">
        <v>14000000</v>
      </c>
      <c r="H26" s="3">
        <v>1</v>
      </c>
    </row>
    <row r="27" spans="1:18" ht="69" customHeight="1" x14ac:dyDescent="0.25">
      <c r="A27" s="534"/>
      <c r="B27" s="261" t="s">
        <v>369</v>
      </c>
      <c r="C27" s="7" t="s">
        <v>60</v>
      </c>
      <c r="D27" s="261" t="s">
        <v>133</v>
      </c>
      <c r="E27" s="7">
        <v>154</v>
      </c>
      <c r="F27" s="263" t="s">
        <v>336</v>
      </c>
      <c r="G27" s="6">
        <v>28000000</v>
      </c>
      <c r="H27" s="3">
        <v>1</v>
      </c>
    </row>
    <row r="28" spans="1:18" ht="76.5" customHeight="1" x14ac:dyDescent="0.25">
      <c r="A28" s="539"/>
      <c r="B28" s="261" t="s">
        <v>369</v>
      </c>
      <c r="C28" s="7" t="s">
        <v>60</v>
      </c>
      <c r="D28" s="261" t="s">
        <v>133</v>
      </c>
      <c r="E28" s="7">
        <v>156</v>
      </c>
      <c r="F28" s="263" t="s">
        <v>544</v>
      </c>
      <c r="G28" s="6">
        <v>15000000</v>
      </c>
      <c r="H28" s="3">
        <v>1</v>
      </c>
    </row>
    <row r="29" spans="1:18" s="18" customFormat="1" ht="21.75" thickBot="1" x14ac:dyDescent="0.4">
      <c r="A29" s="527" t="s">
        <v>434</v>
      </c>
      <c r="B29" s="528"/>
      <c r="C29" s="528"/>
      <c r="D29" s="528"/>
      <c r="E29" s="528"/>
      <c r="F29" s="529"/>
      <c r="G29" s="530"/>
      <c r="H29" s="531">
        <v>5</v>
      </c>
    </row>
    <row r="30" spans="1:18" ht="72" customHeight="1" thickTop="1" x14ac:dyDescent="0.25">
      <c r="A30" s="536" t="s">
        <v>3</v>
      </c>
      <c r="B30" s="261" t="s">
        <v>369</v>
      </c>
      <c r="C30" s="7" t="s">
        <v>60</v>
      </c>
      <c r="D30" s="261" t="s">
        <v>133</v>
      </c>
      <c r="E30" s="7">
        <v>17</v>
      </c>
      <c r="F30" s="263" t="s">
        <v>466</v>
      </c>
      <c r="G30" s="6">
        <v>18000000</v>
      </c>
      <c r="H30" s="3">
        <v>1</v>
      </c>
    </row>
    <row r="31" spans="1:18" ht="88.5" customHeight="1" x14ac:dyDescent="0.25">
      <c r="A31" s="534"/>
      <c r="B31" s="261" t="s">
        <v>369</v>
      </c>
      <c r="C31" s="7" t="s">
        <v>60</v>
      </c>
      <c r="D31" s="261" t="s">
        <v>133</v>
      </c>
      <c r="E31" s="7">
        <v>18</v>
      </c>
      <c r="F31" s="263" t="s">
        <v>468</v>
      </c>
      <c r="G31" s="6">
        <v>11000000</v>
      </c>
      <c r="H31" s="3">
        <v>1</v>
      </c>
    </row>
    <row r="32" spans="1:18" ht="99" customHeight="1" x14ac:dyDescent="0.25">
      <c r="A32" s="539"/>
      <c r="B32" s="261" t="s">
        <v>369</v>
      </c>
      <c r="C32" s="7" t="s">
        <v>60</v>
      </c>
      <c r="D32" s="261" t="s">
        <v>133</v>
      </c>
      <c r="E32" s="7">
        <v>140</v>
      </c>
      <c r="F32" s="263" t="s">
        <v>467</v>
      </c>
      <c r="G32" s="6">
        <v>20000000</v>
      </c>
      <c r="H32" s="3">
        <v>1</v>
      </c>
      <c r="Q32" s="248"/>
      <c r="R32" s="248"/>
    </row>
    <row r="33" spans="1:8" s="18" customFormat="1" ht="21.75" thickBot="1" x14ac:dyDescent="0.4">
      <c r="A33" s="527" t="s">
        <v>436</v>
      </c>
      <c r="B33" s="528"/>
      <c r="C33" s="528"/>
      <c r="D33" s="528"/>
      <c r="E33" s="528"/>
      <c r="F33" s="529"/>
      <c r="G33" s="530"/>
      <c r="H33" s="531">
        <v>3</v>
      </c>
    </row>
    <row r="34" spans="1:8" ht="58.5" customHeight="1" thickTop="1" x14ac:dyDescent="0.25">
      <c r="A34" s="536" t="s">
        <v>19</v>
      </c>
      <c r="B34" s="261" t="s">
        <v>369</v>
      </c>
      <c r="C34" s="7" t="s">
        <v>60</v>
      </c>
      <c r="D34" s="261" t="s">
        <v>133</v>
      </c>
      <c r="E34" s="7">
        <v>133</v>
      </c>
      <c r="F34" s="263" t="s">
        <v>298</v>
      </c>
      <c r="G34" s="6">
        <v>24000000</v>
      </c>
      <c r="H34" s="3">
        <v>1</v>
      </c>
    </row>
    <row r="35" spans="1:8" ht="54.75" customHeight="1" x14ac:dyDescent="0.25">
      <c r="A35" s="539"/>
      <c r="B35" s="261" t="s">
        <v>370</v>
      </c>
      <c r="C35" s="7" t="s">
        <v>60</v>
      </c>
      <c r="D35" s="261" t="s">
        <v>133</v>
      </c>
      <c r="E35" s="7">
        <v>129</v>
      </c>
      <c r="F35" s="263" t="s">
        <v>292</v>
      </c>
      <c r="G35" s="6">
        <v>16500000</v>
      </c>
      <c r="H35" s="3">
        <v>1</v>
      </c>
    </row>
    <row r="36" spans="1:8" s="18" customFormat="1" ht="21.75" thickBot="1" x14ac:dyDescent="0.4">
      <c r="A36" s="527" t="s">
        <v>437</v>
      </c>
      <c r="B36" s="528"/>
      <c r="C36" s="528"/>
      <c r="D36" s="528"/>
      <c r="E36" s="528"/>
      <c r="F36" s="529"/>
      <c r="G36" s="530"/>
      <c r="H36" s="531">
        <v>2</v>
      </c>
    </row>
    <row r="37" spans="1:8" ht="15.75" thickTop="1" x14ac:dyDescent="0.25">
      <c r="A37" s="249" t="s">
        <v>364</v>
      </c>
      <c r="B37" s="256"/>
      <c r="C37" s="256"/>
      <c r="D37" s="256"/>
      <c r="E37" s="256"/>
      <c r="F37" s="264"/>
      <c r="G37" s="262"/>
      <c r="H37" s="250">
        <v>28</v>
      </c>
    </row>
  </sheetData>
  <mergeCells count="19">
    <mergeCell ref="A1:H1"/>
    <mergeCell ref="A18:A22"/>
    <mergeCell ref="A23:E23"/>
    <mergeCell ref="F23:H23"/>
    <mergeCell ref="A29:E29"/>
    <mergeCell ref="F29:H29"/>
    <mergeCell ref="A24:A28"/>
    <mergeCell ref="A8:E8"/>
    <mergeCell ref="F8:H8"/>
    <mergeCell ref="A3:A7"/>
    <mergeCell ref="A17:E17"/>
    <mergeCell ref="F17:H17"/>
    <mergeCell ref="A9:A16"/>
    <mergeCell ref="A33:E33"/>
    <mergeCell ref="F33:H33"/>
    <mergeCell ref="A30:A32"/>
    <mergeCell ref="A36:E36"/>
    <mergeCell ref="F36:H36"/>
    <mergeCell ref="A34:A35"/>
  </mergeCells>
  <pageMargins left="0.70866141732283472" right="0.70866141732283472" top="0.74803149606299213" bottom="0.74803149606299213" header="0.31496062992125984" footer="0.31496062992125984"/>
  <pageSetup scale="62" orientation="landscape" horizontalDpi="1200" verticalDpi="1200" r:id="rId1"/>
  <rowBreaks count="2" manualBreakCount="2">
    <brk id="17" max="7" man="1"/>
    <brk id="2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8C988-2DA8-40E8-AAB9-1AAA1D855292}">
  <dimension ref="A1:H27"/>
  <sheetViews>
    <sheetView view="pageBreakPreview" zoomScale="60" zoomScaleNormal="100" workbookViewId="0">
      <selection sqref="A1:H1"/>
    </sheetView>
  </sheetViews>
  <sheetFormatPr baseColWidth="10" defaultRowHeight="15" x14ac:dyDescent="0.25"/>
  <cols>
    <col min="1" max="1" width="24.42578125" customWidth="1"/>
    <col min="2" max="2" width="17.5703125" style="265" customWidth="1"/>
    <col min="3" max="3" width="17.140625" style="265" customWidth="1"/>
    <col min="4" max="4" width="17" style="265" customWidth="1"/>
    <col min="5" max="5" width="8.5703125" style="267" customWidth="1"/>
    <col min="6" max="6" width="73.42578125" style="269" customWidth="1"/>
    <col min="7" max="7" width="16.5703125" style="6" customWidth="1"/>
    <col min="8" max="8" width="11.42578125" style="258"/>
  </cols>
  <sheetData>
    <row r="1" spans="1:8" ht="36" customHeight="1" thickBot="1" x14ac:dyDescent="0.3">
      <c r="A1" s="544" t="s">
        <v>586</v>
      </c>
      <c r="B1" s="544"/>
      <c r="C1" s="544"/>
      <c r="D1" s="544"/>
      <c r="E1" s="544"/>
      <c r="F1" s="544"/>
      <c r="G1" s="544"/>
      <c r="H1" s="544"/>
    </row>
    <row r="2" spans="1:8" ht="57.75" customHeight="1" thickTop="1" thickBot="1" x14ac:dyDescent="0.3">
      <c r="A2" s="14" t="s">
        <v>39</v>
      </c>
      <c r="B2" s="260" t="s">
        <v>368</v>
      </c>
      <c r="C2" s="260" t="s">
        <v>115</v>
      </c>
      <c r="D2" s="260" t="s">
        <v>339</v>
      </c>
      <c r="E2" s="15" t="s">
        <v>2</v>
      </c>
      <c r="F2" s="15" t="s">
        <v>119</v>
      </c>
      <c r="G2" s="253" t="s">
        <v>120</v>
      </c>
      <c r="H2" s="16" t="s">
        <v>592</v>
      </c>
    </row>
    <row r="3" spans="1:8" ht="87" customHeight="1" thickTop="1" x14ac:dyDescent="0.25">
      <c r="A3" s="536" t="s">
        <v>1</v>
      </c>
      <c r="B3" s="263" t="s">
        <v>374</v>
      </c>
      <c r="C3" s="265" t="s">
        <v>60</v>
      </c>
      <c r="D3" s="263" t="s">
        <v>133</v>
      </c>
      <c r="E3" s="267">
        <v>101</v>
      </c>
      <c r="F3" s="270" t="s">
        <v>327</v>
      </c>
      <c r="G3" s="6">
        <v>8000000</v>
      </c>
      <c r="H3" s="273">
        <v>1</v>
      </c>
    </row>
    <row r="4" spans="1:8" ht="57.75" customHeight="1" x14ac:dyDescent="0.25">
      <c r="A4" s="538"/>
      <c r="B4" s="263" t="s">
        <v>374</v>
      </c>
      <c r="C4" s="265" t="s">
        <v>60</v>
      </c>
      <c r="D4" s="263" t="s">
        <v>133</v>
      </c>
      <c r="E4" s="267">
        <v>185</v>
      </c>
      <c r="F4" s="270" t="s">
        <v>485</v>
      </c>
      <c r="G4" s="6">
        <v>6000000</v>
      </c>
      <c r="H4" s="273">
        <v>1</v>
      </c>
    </row>
    <row r="5" spans="1:8" ht="58.5" customHeight="1" x14ac:dyDescent="0.25">
      <c r="A5" s="539"/>
      <c r="B5" s="263" t="s">
        <v>370</v>
      </c>
      <c r="C5" s="265" t="s">
        <v>110</v>
      </c>
      <c r="D5" s="263" t="s">
        <v>295</v>
      </c>
      <c r="E5" s="267">
        <v>148</v>
      </c>
      <c r="F5" s="270" t="s">
        <v>356</v>
      </c>
      <c r="G5" s="6">
        <v>51253802</v>
      </c>
      <c r="H5" s="273">
        <v>1</v>
      </c>
    </row>
    <row r="6" spans="1:8" s="18" customFormat="1" ht="21.75" thickBot="1" x14ac:dyDescent="0.4">
      <c r="A6" s="527" t="s">
        <v>431</v>
      </c>
      <c r="B6" s="528"/>
      <c r="C6" s="528"/>
      <c r="D6" s="528"/>
      <c r="E6" s="528"/>
      <c r="F6" s="271"/>
      <c r="G6" s="266"/>
      <c r="H6" s="274">
        <v>3</v>
      </c>
    </row>
    <row r="7" spans="1:8" ht="89.25" customHeight="1" thickTop="1" x14ac:dyDescent="0.25">
      <c r="A7" s="536" t="s">
        <v>5</v>
      </c>
      <c r="B7" s="263" t="s">
        <v>369</v>
      </c>
      <c r="C7" s="265" t="s">
        <v>60</v>
      </c>
      <c r="D7" s="263" t="s">
        <v>133</v>
      </c>
      <c r="E7" s="267">
        <v>51</v>
      </c>
      <c r="F7" s="270" t="s">
        <v>535</v>
      </c>
      <c r="G7" s="6">
        <v>8800000</v>
      </c>
      <c r="H7" s="273">
        <v>1</v>
      </c>
    </row>
    <row r="8" spans="1:8" ht="71.25" customHeight="1" x14ac:dyDescent="0.25">
      <c r="A8" s="538"/>
      <c r="B8" s="263" t="s">
        <v>370</v>
      </c>
      <c r="C8" s="265" t="s">
        <v>60</v>
      </c>
      <c r="D8" s="263" t="s">
        <v>133</v>
      </c>
      <c r="E8" s="267">
        <v>41</v>
      </c>
      <c r="F8" s="270" t="s">
        <v>533</v>
      </c>
      <c r="G8" s="6">
        <v>15250000</v>
      </c>
      <c r="H8" s="273">
        <v>1</v>
      </c>
    </row>
    <row r="9" spans="1:8" ht="69" customHeight="1" x14ac:dyDescent="0.25">
      <c r="A9" s="538"/>
      <c r="B9" s="263" t="s">
        <v>370</v>
      </c>
      <c r="C9" s="265" t="s">
        <v>60</v>
      </c>
      <c r="D9" s="263" t="s">
        <v>133</v>
      </c>
      <c r="E9" s="267">
        <v>243</v>
      </c>
      <c r="F9" s="270" t="s">
        <v>532</v>
      </c>
      <c r="G9" s="6">
        <v>13500000</v>
      </c>
      <c r="H9" s="273">
        <v>1</v>
      </c>
    </row>
    <row r="10" spans="1:8" ht="82.5" customHeight="1" x14ac:dyDescent="0.25">
      <c r="A10" s="538"/>
      <c r="B10" s="263" t="s">
        <v>370</v>
      </c>
      <c r="C10" s="265" t="s">
        <v>60</v>
      </c>
      <c r="D10" s="263" t="s">
        <v>308</v>
      </c>
      <c r="E10" s="267">
        <v>168</v>
      </c>
      <c r="F10" s="270" t="s">
        <v>387</v>
      </c>
      <c r="G10" s="6">
        <v>6593200</v>
      </c>
      <c r="H10" s="273">
        <v>1</v>
      </c>
    </row>
    <row r="11" spans="1:8" ht="30" x14ac:dyDescent="0.25">
      <c r="A11" s="538"/>
      <c r="B11" s="263" t="s">
        <v>370</v>
      </c>
      <c r="C11" s="265" t="s">
        <v>70</v>
      </c>
      <c r="D11" s="263" t="s">
        <v>308</v>
      </c>
      <c r="E11" s="267">
        <v>179</v>
      </c>
      <c r="F11" s="270" t="s">
        <v>380</v>
      </c>
      <c r="G11" s="6">
        <v>15000000</v>
      </c>
      <c r="H11" s="273">
        <v>1</v>
      </c>
    </row>
    <row r="12" spans="1:8" ht="78.75" customHeight="1" x14ac:dyDescent="0.25">
      <c r="A12" s="539"/>
      <c r="B12" s="263" t="s">
        <v>370</v>
      </c>
      <c r="C12" s="265" t="s">
        <v>112</v>
      </c>
      <c r="D12" s="263" t="s">
        <v>308</v>
      </c>
      <c r="E12" s="267">
        <v>55</v>
      </c>
      <c r="F12" s="270" t="s">
        <v>259</v>
      </c>
      <c r="G12" s="6">
        <v>20000000</v>
      </c>
      <c r="H12" s="273">
        <v>1</v>
      </c>
    </row>
    <row r="13" spans="1:8" s="18" customFormat="1" ht="21.75" thickBot="1" x14ac:dyDescent="0.4">
      <c r="A13" s="527" t="s">
        <v>432</v>
      </c>
      <c r="B13" s="528"/>
      <c r="C13" s="528"/>
      <c r="D13" s="528"/>
      <c r="E13" s="528"/>
      <c r="F13" s="271"/>
      <c r="G13" s="266"/>
      <c r="H13" s="274">
        <v>6</v>
      </c>
    </row>
    <row r="14" spans="1:8" ht="64.5" customHeight="1" thickTop="1" x14ac:dyDescent="0.25">
      <c r="A14" s="536" t="s">
        <v>36</v>
      </c>
      <c r="B14" s="263" t="s">
        <v>369</v>
      </c>
      <c r="C14" s="265" t="s">
        <v>60</v>
      </c>
      <c r="D14" s="263" t="s">
        <v>133</v>
      </c>
      <c r="E14" s="267">
        <v>66</v>
      </c>
      <c r="F14" s="270" t="s">
        <v>341</v>
      </c>
      <c r="G14" s="6">
        <v>15250000</v>
      </c>
      <c r="H14" s="273">
        <v>1</v>
      </c>
    </row>
    <row r="15" spans="1:8" ht="47.25" customHeight="1" x14ac:dyDescent="0.25">
      <c r="A15" s="534"/>
      <c r="B15" s="263" t="s">
        <v>370</v>
      </c>
      <c r="C15" s="265" t="s">
        <v>109</v>
      </c>
      <c r="D15" s="263" t="s">
        <v>389</v>
      </c>
      <c r="E15" s="267">
        <v>68</v>
      </c>
      <c r="F15" s="270" t="s">
        <v>79</v>
      </c>
      <c r="G15" s="6">
        <v>6500000</v>
      </c>
      <c r="H15" s="273">
        <v>1</v>
      </c>
    </row>
    <row r="16" spans="1:8" ht="54.75" customHeight="1" x14ac:dyDescent="0.25">
      <c r="A16" s="534"/>
      <c r="B16" s="263" t="s">
        <v>370</v>
      </c>
      <c r="C16" s="265" t="s">
        <v>70</v>
      </c>
      <c r="D16" s="263" t="s">
        <v>389</v>
      </c>
      <c r="E16" s="267">
        <v>82</v>
      </c>
      <c r="F16" s="270" t="s">
        <v>93</v>
      </c>
      <c r="G16" s="6">
        <v>11500000</v>
      </c>
      <c r="H16" s="273">
        <v>1</v>
      </c>
    </row>
    <row r="17" spans="1:8" ht="41.25" customHeight="1" x14ac:dyDescent="0.25">
      <c r="A17" s="535"/>
      <c r="B17" s="263" t="s">
        <v>370</v>
      </c>
      <c r="C17" s="265" t="s">
        <v>70</v>
      </c>
      <c r="D17" s="263" t="s">
        <v>389</v>
      </c>
      <c r="E17" s="267">
        <v>184</v>
      </c>
      <c r="F17" s="270" t="s">
        <v>470</v>
      </c>
      <c r="G17" s="6">
        <v>4000000</v>
      </c>
      <c r="H17" s="273">
        <v>1</v>
      </c>
    </row>
    <row r="18" spans="1:8" s="18" customFormat="1" ht="21.75" thickBot="1" x14ac:dyDescent="0.4">
      <c r="A18" s="527" t="s">
        <v>433</v>
      </c>
      <c r="B18" s="528"/>
      <c r="C18" s="528"/>
      <c r="D18" s="528"/>
      <c r="E18" s="528"/>
      <c r="F18" s="271"/>
      <c r="G18" s="266"/>
      <c r="H18" s="274">
        <v>4</v>
      </c>
    </row>
    <row r="19" spans="1:8" ht="89.25" customHeight="1" thickTop="1" x14ac:dyDescent="0.25">
      <c r="A19" s="257" t="s">
        <v>0</v>
      </c>
      <c r="B19" s="263" t="s">
        <v>369</v>
      </c>
      <c r="C19" s="265" t="s">
        <v>60</v>
      </c>
      <c r="D19" s="263" t="s">
        <v>133</v>
      </c>
      <c r="E19" s="267">
        <v>155</v>
      </c>
      <c r="F19" s="270" t="s">
        <v>546</v>
      </c>
      <c r="G19" s="6">
        <v>15000000</v>
      </c>
      <c r="H19" s="273">
        <v>1</v>
      </c>
    </row>
    <row r="20" spans="1:8" s="18" customFormat="1" ht="21.75" thickBot="1" x14ac:dyDescent="0.4">
      <c r="A20" s="527" t="s">
        <v>434</v>
      </c>
      <c r="B20" s="528"/>
      <c r="C20" s="528"/>
      <c r="D20" s="528"/>
      <c r="E20" s="528"/>
      <c r="F20" s="271"/>
      <c r="G20" s="266"/>
      <c r="H20" s="274">
        <v>1</v>
      </c>
    </row>
    <row r="21" spans="1:8" ht="89.25" customHeight="1" thickTop="1" x14ac:dyDescent="0.25">
      <c r="A21" s="257" t="s">
        <v>4</v>
      </c>
      <c r="B21" s="263" t="s">
        <v>370</v>
      </c>
      <c r="C21" s="265" t="s">
        <v>60</v>
      </c>
      <c r="D21" s="263" t="s">
        <v>291</v>
      </c>
      <c r="E21" s="267">
        <v>21</v>
      </c>
      <c r="F21" s="270" t="s">
        <v>311</v>
      </c>
      <c r="G21" s="6">
        <v>298100000</v>
      </c>
      <c r="H21" s="273">
        <v>1</v>
      </c>
    </row>
    <row r="22" spans="1:8" s="18" customFormat="1" ht="21.75" thickBot="1" x14ac:dyDescent="0.4">
      <c r="A22" s="527" t="s">
        <v>435</v>
      </c>
      <c r="B22" s="528"/>
      <c r="C22" s="528"/>
      <c r="D22" s="528"/>
      <c r="E22" s="528"/>
      <c r="F22" s="271"/>
      <c r="G22" s="266"/>
      <c r="H22" s="274">
        <v>1</v>
      </c>
    </row>
    <row r="23" spans="1:8" ht="53.25" customHeight="1" thickTop="1" x14ac:dyDescent="0.25">
      <c r="A23" s="252" t="s">
        <v>3</v>
      </c>
      <c r="B23" s="263" t="s">
        <v>370</v>
      </c>
      <c r="C23" s="265" t="s">
        <v>70</v>
      </c>
      <c r="D23" s="263" t="s">
        <v>308</v>
      </c>
      <c r="E23" s="267">
        <v>139</v>
      </c>
      <c r="F23" s="270" t="s">
        <v>454</v>
      </c>
      <c r="G23" s="6">
        <v>12090759</v>
      </c>
      <c r="H23" s="273">
        <v>1</v>
      </c>
    </row>
    <row r="24" spans="1:8" s="18" customFormat="1" ht="21.75" thickBot="1" x14ac:dyDescent="0.4">
      <c r="A24" s="527" t="s">
        <v>436</v>
      </c>
      <c r="B24" s="528"/>
      <c r="C24" s="528"/>
      <c r="D24" s="528"/>
      <c r="E24" s="528"/>
      <c r="F24" s="271"/>
      <c r="G24" s="266"/>
      <c r="H24" s="274">
        <v>1</v>
      </c>
    </row>
    <row r="25" spans="1:8" ht="111.75" customHeight="1" thickTop="1" x14ac:dyDescent="0.25">
      <c r="A25" s="257" t="s">
        <v>19</v>
      </c>
      <c r="B25" s="263" t="s">
        <v>370</v>
      </c>
      <c r="C25" s="265" t="s">
        <v>60</v>
      </c>
      <c r="D25" s="263" t="s">
        <v>291</v>
      </c>
      <c r="E25" s="267">
        <v>127</v>
      </c>
      <c r="F25" s="270" t="s">
        <v>582</v>
      </c>
      <c r="G25" s="6">
        <v>200000000</v>
      </c>
      <c r="H25" s="273">
        <v>1</v>
      </c>
    </row>
    <row r="26" spans="1:8" s="18" customFormat="1" ht="21.75" thickBot="1" x14ac:dyDescent="0.4">
      <c r="A26" s="527" t="s">
        <v>437</v>
      </c>
      <c r="B26" s="528"/>
      <c r="C26" s="528"/>
      <c r="D26" s="528"/>
      <c r="E26" s="528"/>
      <c r="F26" s="271"/>
      <c r="G26" s="266"/>
      <c r="H26" s="274">
        <v>1</v>
      </c>
    </row>
    <row r="27" spans="1:8" ht="15.75" thickTop="1" x14ac:dyDescent="0.25">
      <c r="A27" s="249" t="s">
        <v>364</v>
      </c>
      <c r="B27" s="264"/>
      <c r="C27" s="264"/>
      <c r="D27" s="264"/>
      <c r="E27" s="268"/>
      <c r="F27" s="272"/>
      <c r="G27" s="262"/>
      <c r="H27" s="275">
        <v>17</v>
      </c>
    </row>
  </sheetData>
  <mergeCells count="11">
    <mergeCell ref="A14:A17"/>
    <mergeCell ref="A1:H1"/>
    <mergeCell ref="A6:E6"/>
    <mergeCell ref="A13:E13"/>
    <mergeCell ref="A3:A5"/>
    <mergeCell ref="A7:A12"/>
    <mergeCell ref="A18:E18"/>
    <mergeCell ref="A20:E20"/>
    <mergeCell ref="A22:E22"/>
    <mergeCell ref="A24:E24"/>
    <mergeCell ref="A26:E26"/>
  </mergeCells>
  <pageMargins left="0.70866141732283472" right="0.70866141732283472" top="0.74803149606299213" bottom="0.74803149606299213" header="0.31496062992125984" footer="0.31496062992125984"/>
  <pageSetup scale="66"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89355-1034-4E47-94E3-D3145CE53A74}">
  <sheetPr>
    <tabColor theme="5" tint="0.79998168889431442"/>
  </sheetPr>
  <dimension ref="A1:H37"/>
  <sheetViews>
    <sheetView showGridLines="0" view="pageBreakPreview" zoomScale="60" zoomScaleNormal="100" workbookViewId="0">
      <selection activeCell="A2" sqref="A2:XFD2"/>
    </sheetView>
  </sheetViews>
  <sheetFormatPr baseColWidth="10" defaultRowHeight="15" x14ac:dyDescent="0.25"/>
  <cols>
    <col min="1" max="1" width="18.28515625" customWidth="1"/>
    <col min="2" max="2" width="11.42578125" style="7"/>
    <col min="3" max="3" width="13.7109375" style="7" customWidth="1"/>
    <col min="4" max="4" width="13.42578125" style="7" customWidth="1"/>
    <col min="5" max="5" width="11.42578125" style="7"/>
    <col min="6" max="6" width="138" style="7" customWidth="1"/>
    <col min="7" max="7" width="22.42578125" style="348" customWidth="1"/>
    <col min="8" max="8" width="11.42578125" style="7"/>
  </cols>
  <sheetData>
    <row r="1" spans="1:8" ht="60" customHeight="1" thickBot="1" x14ac:dyDescent="0.3">
      <c r="A1" s="552" t="s">
        <v>643</v>
      </c>
      <c r="B1" s="552"/>
      <c r="C1" s="552"/>
      <c r="D1" s="552"/>
      <c r="E1" s="552"/>
      <c r="F1" s="552"/>
      <c r="G1" s="552"/>
      <c r="H1" s="552"/>
    </row>
    <row r="2" spans="1:8" ht="57.75" customHeight="1" thickTop="1" thickBot="1" x14ac:dyDescent="0.3">
      <c r="A2" s="14" t="s">
        <v>39</v>
      </c>
      <c r="B2" s="15" t="s">
        <v>368</v>
      </c>
      <c r="C2" s="15" t="s">
        <v>115</v>
      </c>
      <c r="D2" s="15" t="s">
        <v>339</v>
      </c>
      <c r="E2" s="15" t="s">
        <v>2</v>
      </c>
      <c r="F2" s="15" t="s">
        <v>119</v>
      </c>
      <c r="G2" s="253" t="s">
        <v>120</v>
      </c>
      <c r="H2" s="16" t="s">
        <v>429</v>
      </c>
    </row>
    <row r="3" spans="1:8" ht="75.75" customHeight="1" thickTop="1" x14ac:dyDescent="0.25">
      <c r="A3" s="549" t="s">
        <v>1</v>
      </c>
      <c r="B3" s="12" t="s">
        <v>369</v>
      </c>
      <c r="C3" s="12" t="s">
        <v>60</v>
      </c>
      <c r="D3" s="12" t="s">
        <v>133</v>
      </c>
      <c r="E3" s="12">
        <v>27</v>
      </c>
      <c r="F3" s="12" t="s">
        <v>326</v>
      </c>
      <c r="G3" s="349">
        <v>12600000</v>
      </c>
      <c r="H3" s="350">
        <v>1</v>
      </c>
    </row>
    <row r="4" spans="1:8" ht="30" x14ac:dyDescent="0.25">
      <c r="A4" s="550"/>
      <c r="B4" s="13" t="s">
        <v>374</v>
      </c>
      <c r="C4" s="13" t="s">
        <v>70</v>
      </c>
      <c r="D4" s="13" t="s">
        <v>397</v>
      </c>
      <c r="E4" s="13">
        <v>173</v>
      </c>
      <c r="F4" s="13" t="s">
        <v>396</v>
      </c>
      <c r="G4" s="351">
        <v>20000000</v>
      </c>
      <c r="H4" s="352">
        <v>1</v>
      </c>
    </row>
    <row r="5" spans="1:8" ht="30" x14ac:dyDescent="0.25">
      <c r="A5" s="550"/>
      <c r="B5" s="13" t="s">
        <v>370</v>
      </c>
      <c r="C5" s="13" t="s">
        <v>110</v>
      </c>
      <c r="D5" s="13" t="s">
        <v>295</v>
      </c>
      <c r="E5" s="13">
        <v>182</v>
      </c>
      <c r="F5" s="13" t="s">
        <v>469</v>
      </c>
      <c r="G5" s="351">
        <v>170000000</v>
      </c>
      <c r="H5" s="352">
        <v>1</v>
      </c>
    </row>
    <row r="6" spans="1:8" ht="30" x14ac:dyDescent="0.25">
      <c r="A6" s="550"/>
      <c r="B6" s="13" t="s">
        <v>464</v>
      </c>
      <c r="C6" s="13" t="s">
        <v>319</v>
      </c>
      <c r="D6" s="13" t="s">
        <v>471</v>
      </c>
      <c r="E6" s="13">
        <v>143</v>
      </c>
      <c r="F6" s="13" t="s">
        <v>318</v>
      </c>
      <c r="G6" s="351">
        <v>300000000</v>
      </c>
      <c r="H6" s="352">
        <v>1</v>
      </c>
    </row>
    <row r="7" spans="1:8" ht="30.75" thickBot="1" x14ac:dyDescent="0.3">
      <c r="A7" s="551"/>
      <c r="B7" s="329" t="s">
        <v>464</v>
      </c>
      <c r="C7" s="329" t="s">
        <v>320</v>
      </c>
      <c r="D7" s="329" t="s">
        <v>308</v>
      </c>
      <c r="E7" s="329">
        <v>149</v>
      </c>
      <c r="F7" s="329" t="s">
        <v>456</v>
      </c>
      <c r="G7" s="353">
        <v>150000000</v>
      </c>
      <c r="H7" s="354">
        <v>1</v>
      </c>
    </row>
    <row r="8" spans="1:8" s="18" customFormat="1" ht="22.5" thickTop="1" thickBot="1" x14ac:dyDescent="0.4">
      <c r="A8" s="545" t="s">
        <v>431</v>
      </c>
      <c r="B8" s="546"/>
      <c r="C8" s="546"/>
      <c r="D8" s="546"/>
      <c r="E8" s="546"/>
      <c r="F8" s="547">
        <v>5</v>
      </c>
      <c r="G8" s="547"/>
      <c r="H8" s="548">
        <v>5</v>
      </c>
    </row>
    <row r="9" spans="1:8" ht="30.75" thickTop="1" x14ac:dyDescent="0.25">
      <c r="A9" s="549" t="s">
        <v>5</v>
      </c>
      <c r="B9" s="12" t="s">
        <v>369</v>
      </c>
      <c r="C9" s="12" t="s">
        <v>60</v>
      </c>
      <c r="D9" s="12" t="s">
        <v>133</v>
      </c>
      <c r="E9" s="12">
        <v>43</v>
      </c>
      <c r="F9" s="12" t="s">
        <v>267</v>
      </c>
      <c r="G9" s="349">
        <v>18000000</v>
      </c>
      <c r="H9" s="350">
        <v>1</v>
      </c>
    </row>
    <row r="10" spans="1:8" ht="45" x14ac:dyDescent="0.25">
      <c r="A10" s="550"/>
      <c r="B10" s="13" t="s">
        <v>369</v>
      </c>
      <c r="C10" s="13" t="s">
        <v>60</v>
      </c>
      <c r="D10" s="13" t="s">
        <v>133</v>
      </c>
      <c r="E10" s="13">
        <v>48</v>
      </c>
      <c r="F10" s="13" t="s">
        <v>274</v>
      </c>
      <c r="G10" s="351">
        <v>8800000</v>
      </c>
      <c r="H10" s="352">
        <v>1</v>
      </c>
    </row>
    <row r="11" spans="1:8" ht="30" x14ac:dyDescent="0.25">
      <c r="A11" s="550"/>
      <c r="B11" s="13" t="s">
        <v>369</v>
      </c>
      <c r="C11" s="13" t="s">
        <v>60</v>
      </c>
      <c r="D11" s="13" t="s">
        <v>133</v>
      </c>
      <c r="E11" s="13">
        <v>60</v>
      </c>
      <c r="F11" s="13" t="s">
        <v>268</v>
      </c>
      <c r="G11" s="351">
        <v>22750000</v>
      </c>
      <c r="H11" s="352">
        <v>1</v>
      </c>
    </row>
    <row r="12" spans="1:8" ht="30" x14ac:dyDescent="0.25">
      <c r="A12" s="550"/>
      <c r="B12" s="13" t="s">
        <v>369</v>
      </c>
      <c r="C12" s="13" t="s">
        <v>60</v>
      </c>
      <c r="D12" s="13" t="s">
        <v>133</v>
      </c>
      <c r="E12" s="13">
        <v>164</v>
      </c>
      <c r="F12" s="13" t="s">
        <v>283</v>
      </c>
      <c r="G12" s="351">
        <v>28000000</v>
      </c>
      <c r="H12" s="352">
        <v>1</v>
      </c>
    </row>
    <row r="13" spans="1:8" ht="30" x14ac:dyDescent="0.25">
      <c r="A13" s="550"/>
      <c r="B13" s="13" t="s">
        <v>369</v>
      </c>
      <c r="C13" s="13" t="s">
        <v>60</v>
      </c>
      <c r="D13" s="13" t="s">
        <v>133</v>
      </c>
      <c r="E13" s="13">
        <v>183</v>
      </c>
      <c r="F13" s="13" t="s">
        <v>465</v>
      </c>
      <c r="G13" s="351">
        <v>24000000</v>
      </c>
      <c r="H13" s="352">
        <v>1</v>
      </c>
    </row>
    <row r="14" spans="1:8" ht="45" x14ac:dyDescent="0.25">
      <c r="A14" s="550"/>
      <c r="B14" s="13" t="s">
        <v>374</v>
      </c>
      <c r="C14" s="13" t="s">
        <v>109</v>
      </c>
      <c r="D14" s="13" t="s">
        <v>308</v>
      </c>
      <c r="E14" s="13">
        <v>166</v>
      </c>
      <c r="F14" s="13" t="s">
        <v>598</v>
      </c>
      <c r="G14" s="351">
        <v>10000000</v>
      </c>
      <c r="H14" s="352">
        <v>1</v>
      </c>
    </row>
    <row r="15" spans="1:8" ht="30" x14ac:dyDescent="0.25">
      <c r="A15" s="550"/>
      <c r="B15" s="13" t="s">
        <v>374</v>
      </c>
      <c r="C15" s="13" t="s">
        <v>70</v>
      </c>
      <c r="D15" s="13" t="s">
        <v>389</v>
      </c>
      <c r="E15" s="13">
        <v>167</v>
      </c>
      <c r="F15" s="13" t="s">
        <v>352</v>
      </c>
      <c r="G15" s="351">
        <v>20000000</v>
      </c>
      <c r="H15" s="352">
        <v>1</v>
      </c>
    </row>
    <row r="16" spans="1:8" ht="30.75" thickBot="1" x14ac:dyDescent="0.3">
      <c r="A16" s="551"/>
      <c r="B16" s="329" t="s">
        <v>370</v>
      </c>
      <c r="C16" s="329" t="s">
        <v>70</v>
      </c>
      <c r="D16" s="329" t="s">
        <v>308</v>
      </c>
      <c r="E16" s="329">
        <v>162</v>
      </c>
      <c r="F16" s="329" t="s">
        <v>281</v>
      </c>
      <c r="G16" s="353">
        <v>4000000</v>
      </c>
      <c r="H16" s="354">
        <v>1</v>
      </c>
    </row>
    <row r="17" spans="1:8" s="18" customFormat="1" ht="22.5" thickTop="1" thickBot="1" x14ac:dyDescent="0.4">
      <c r="A17" s="545" t="s">
        <v>432</v>
      </c>
      <c r="B17" s="546"/>
      <c r="C17" s="546"/>
      <c r="D17" s="546"/>
      <c r="E17" s="546"/>
      <c r="F17" s="547">
        <v>8</v>
      </c>
      <c r="G17" s="547"/>
      <c r="H17" s="548">
        <v>8</v>
      </c>
    </row>
    <row r="18" spans="1:8" ht="30.75" thickTop="1" x14ac:dyDescent="0.25">
      <c r="A18" s="549" t="s">
        <v>36</v>
      </c>
      <c r="B18" s="12" t="s">
        <v>369</v>
      </c>
      <c r="C18" s="12" t="s">
        <v>60</v>
      </c>
      <c r="D18" s="12" t="s">
        <v>133</v>
      </c>
      <c r="E18" s="12">
        <v>65</v>
      </c>
      <c r="F18" s="12" t="s">
        <v>340</v>
      </c>
      <c r="G18" s="349">
        <v>26366667</v>
      </c>
      <c r="H18" s="350">
        <v>1</v>
      </c>
    </row>
    <row r="19" spans="1:8" ht="45" x14ac:dyDescent="0.25">
      <c r="A19" s="550"/>
      <c r="B19" s="13"/>
      <c r="C19" s="13" t="s">
        <v>112</v>
      </c>
      <c r="D19" s="13" t="s">
        <v>308</v>
      </c>
      <c r="E19" s="13">
        <v>73</v>
      </c>
      <c r="F19" s="13" t="s">
        <v>266</v>
      </c>
      <c r="G19" s="351">
        <v>5000000</v>
      </c>
      <c r="H19" s="352">
        <v>1</v>
      </c>
    </row>
    <row r="20" spans="1:8" ht="45" x14ac:dyDescent="0.25">
      <c r="A20" s="550"/>
      <c r="B20" s="13"/>
      <c r="C20" s="13" t="s">
        <v>113</v>
      </c>
      <c r="D20" s="13" t="s">
        <v>308</v>
      </c>
      <c r="E20" s="13">
        <v>181</v>
      </c>
      <c r="F20" s="13" t="s">
        <v>83</v>
      </c>
      <c r="G20" s="351">
        <v>27000000</v>
      </c>
      <c r="H20" s="352">
        <v>1</v>
      </c>
    </row>
    <row r="21" spans="1:8" ht="45" x14ac:dyDescent="0.25">
      <c r="A21" s="550"/>
      <c r="B21" s="13" t="s">
        <v>374</v>
      </c>
      <c r="C21" s="13" t="s">
        <v>109</v>
      </c>
      <c r="D21" s="13" t="s">
        <v>308</v>
      </c>
      <c r="E21" s="13">
        <v>69</v>
      </c>
      <c r="F21" s="13" t="s">
        <v>80</v>
      </c>
      <c r="G21" s="351">
        <v>23300000</v>
      </c>
      <c r="H21" s="352">
        <v>1</v>
      </c>
    </row>
    <row r="22" spans="1:8" ht="30.75" thickBot="1" x14ac:dyDescent="0.3">
      <c r="A22" s="551"/>
      <c r="B22" s="329"/>
      <c r="C22" s="329" t="s">
        <v>60</v>
      </c>
      <c r="D22" s="329" t="s">
        <v>308</v>
      </c>
      <c r="E22" s="329">
        <v>84</v>
      </c>
      <c r="F22" s="329" t="s">
        <v>96</v>
      </c>
      <c r="G22" s="353">
        <v>5100000</v>
      </c>
      <c r="H22" s="354">
        <v>1</v>
      </c>
    </row>
    <row r="23" spans="1:8" s="18" customFormat="1" ht="22.5" thickTop="1" thickBot="1" x14ac:dyDescent="0.4">
      <c r="A23" s="545" t="s">
        <v>433</v>
      </c>
      <c r="B23" s="546"/>
      <c r="C23" s="546"/>
      <c r="D23" s="546"/>
      <c r="E23" s="546"/>
      <c r="F23" s="547">
        <v>5</v>
      </c>
      <c r="G23" s="547"/>
      <c r="H23" s="548">
        <v>5</v>
      </c>
    </row>
    <row r="24" spans="1:8" ht="30.75" thickTop="1" x14ac:dyDescent="0.25">
      <c r="A24" s="549" t="s">
        <v>0</v>
      </c>
      <c r="B24" s="12" t="s">
        <v>369</v>
      </c>
      <c r="C24" s="12" t="s">
        <v>60</v>
      </c>
      <c r="D24" s="12" t="s">
        <v>133</v>
      </c>
      <c r="E24" s="12">
        <v>33</v>
      </c>
      <c r="F24" s="12" t="s">
        <v>329</v>
      </c>
      <c r="G24" s="349">
        <v>16500000</v>
      </c>
      <c r="H24" s="350">
        <v>1</v>
      </c>
    </row>
    <row r="25" spans="1:8" ht="30" x14ac:dyDescent="0.25">
      <c r="A25" s="550"/>
      <c r="B25" s="13" t="s">
        <v>369</v>
      </c>
      <c r="C25" s="13" t="s">
        <v>60</v>
      </c>
      <c r="D25" s="13" t="s">
        <v>133</v>
      </c>
      <c r="E25" s="13">
        <v>107</v>
      </c>
      <c r="F25" s="13" t="s">
        <v>332</v>
      </c>
      <c r="G25" s="351">
        <v>15000000</v>
      </c>
      <c r="H25" s="352">
        <v>1</v>
      </c>
    </row>
    <row r="26" spans="1:8" ht="30" x14ac:dyDescent="0.25">
      <c r="A26" s="550"/>
      <c r="B26" s="13" t="s">
        <v>369</v>
      </c>
      <c r="C26" s="13" t="s">
        <v>60</v>
      </c>
      <c r="D26" s="13" t="s">
        <v>133</v>
      </c>
      <c r="E26" s="13">
        <v>153</v>
      </c>
      <c r="F26" s="13" t="s">
        <v>479</v>
      </c>
      <c r="G26" s="351">
        <v>14000000</v>
      </c>
      <c r="H26" s="352">
        <v>1</v>
      </c>
    </row>
    <row r="27" spans="1:8" ht="30" x14ac:dyDescent="0.25">
      <c r="A27" s="550"/>
      <c r="B27" s="13" t="s">
        <v>369</v>
      </c>
      <c r="C27" s="13" t="s">
        <v>60</v>
      </c>
      <c r="D27" s="13" t="s">
        <v>133</v>
      </c>
      <c r="E27" s="13">
        <v>154</v>
      </c>
      <c r="F27" s="13" t="s">
        <v>336</v>
      </c>
      <c r="G27" s="351">
        <v>28000000</v>
      </c>
      <c r="H27" s="352">
        <v>1</v>
      </c>
    </row>
    <row r="28" spans="1:8" ht="30.75" thickBot="1" x14ac:dyDescent="0.3">
      <c r="A28" s="551"/>
      <c r="B28" s="329" t="s">
        <v>369</v>
      </c>
      <c r="C28" s="329" t="s">
        <v>60</v>
      </c>
      <c r="D28" s="329" t="s">
        <v>133</v>
      </c>
      <c r="E28" s="329">
        <v>156</v>
      </c>
      <c r="F28" s="329" t="s">
        <v>544</v>
      </c>
      <c r="G28" s="353">
        <v>15000000</v>
      </c>
      <c r="H28" s="354">
        <v>1</v>
      </c>
    </row>
    <row r="29" spans="1:8" s="18" customFormat="1" ht="22.5" thickTop="1" thickBot="1" x14ac:dyDescent="0.4">
      <c r="A29" s="545" t="s">
        <v>434</v>
      </c>
      <c r="B29" s="546"/>
      <c r="C29" s="546"/>
      <c r="D29" s="546"/>
      <c r="E29" s="546"/>
      <c r="F29" s="547">
        <v>5</v>
      </c>
      <c r="G29" s="547"/>
      <c r="H29" s="548">
        <v>5</v>
      </c>
    </row>
    <row r="30" spans="1:8" ht="30.75" thickTop="1" x14ac:dyDescent="0.25">
      <c r="A30" s="549" t="s">
        <v>3</v>
      </c>
      <c r="B30" s="12" t="s">
        <v>369</v>
      </c>
      <c r="C30" s="12" t="s">
        <v>60</v>
      </c>
      <c r="D30" s="12" t="s">
        <v>133</v>
      </c>
      <c r="E30" s="12">
        <v>17</v>
      </c>
      <c r="F30" s="12" t="s">
        <v>466</v>
      </c>
      <c r="G30" s="349">
        <v>18000000</v>
      </c>
      <c r="H30" s="350">
        <v>1</v>
      </c>
    </row>
    <row r="31" spans="1:8" ht="30" x14ac:dyDescent="0.25">
      <c r="A31" s="550"/>
      <c r="B31" s="13" t="s">
        <v>369</v>
      </c>
      <c r="C31" s="13" t="s">
        <v>60</v>
      </c>
      <c r="D31" s="13" t="s">
        <v>133</v>
      </c>
      <c r="E31" s="13">
        <v>18</v>
      </c>
      <c r="F31" s="13" t="s">
        <v>468</v>
      </c>
      <c r="G31" s="351">
        <v>11000000</v>
      </c>
      <c r="H31" s="352">
        <v>1</v>
      </c>
    </row>
    <row r="32" spans="1:8" ht="30.75" thickBot="1" x14ac:dyDescent="0.3">
      <c r="A32" s="551"/>
      <c r="B32" s="329" t="s">
        <v>369</v>
      </c>
      <c r="C32" s="329" t="s">
        <v>60</v>
      </c>
      <c r="D32" s="329" t="s">
        <v>133</v>
      </c>
      <c r="E32" s="329">
        <v>140</v>
      </c>
      <c r="F32" s="329" t="s">
        <v>467</v>
      </c>
      <c r="G32" s="353">
        <v>20000000</v>
      </c>
      <c r="H32" s="354">
        <v>1</v>
      </c>
    </row>
    <row r="33" spans="1:8" s="18" customFormat="1" ht="22.5" thickTop="1" thickBot="1" x14ac:dyDescent="0.4">
      <c r="A33" s="545" t="s">
        <v>436</v>
      </c>
      <c r="B33" s="546"/>
      <c r="C33" s="546"/>
      <c r="D33" s="546"/>
      <c r="E33" s="546"/>
      <c r="F33" s="547">
        <v>3</v>
      </c>
      <c r="G33" s="547"/>
      <c r="H33" s="548">
        <v>3</v>
      </c>
    </row>
    <row r="34" spans="1:8" ht="60.75" customHeight="1" thickTop="1" x14ac:dyDescent="0.25">
      <c r="A34" s="549" t="s">
        <v>19</v>
      </c>
      <c r="B34" s="12" t="s">
        <v>369</v>
      </c>
      <c r="C34" s="12" t="s">
        <v>60</v>
      </c>
      <c r="D34" s="12" t="s">
        <v>133</v>
      </c>
      <c r="E34" s="12">
        <v>133</v>
      </c>
      <c r="F34" s="12" t="s">
        <v>298</v>
      </c>
      <c r="G34" s="349">
        <v>24000000</v>
      </c>
      <c r="H34" s="350">
        <v>1</v>
      </c>
    </row>
    <row r="35" spans="1:8" ht="30.75" thickBot="1" x14ac:dyDescent="0.3">
      <c r="A35" s="551"/>
      <c r="B35" s="329" t="s">
        <v>370</v>
      </c>
      <c r="C35" s="329" t="s">
        <v>60</v>
      </c>
      <c r="D35" s="329" t="s">
        <v>133</v>
      </c>
      <c r="E35" s="329">
        <v>129</v>
      </c>
      <c r="F35" s="329" t="s">
        <v>292</v>
      </c>
      <c r="G35" s="353">
        <v>16500000</v>
      </c>
      <c r="H35" s="354">
        <v>1</v>
      </c>
    </row>
    <row r="36" spans="1:8" s="18" customFormat="1" ht="37.5" customHeight="1" thickTop="1" thickBot="1" x14ac:dyDescent="0.4">
      <c r="A36" s="545" t="s">
        <v>437</v>
      </c>
      <c r="B36" s="546"/>
      <c r="C36" s="546"/>
      <c r="D36" s="546"/>
      <c r="E36" s="546"/>
      <c r="F36" s="547">
        <v>2</v>
      </c>
      <c r="G36" s="547"/>
      <c r="H36" s="548">
        <v>2</v>
      </c>
    </row>
    <row r="37" spans="1:8" ht="15.75" thickTop="1" x14ac:dyDescent="0.25">
      <c r="A37" s="249" t="s">
        <v>364</v>
      </c>
      <c r="B37" s="256"/>
      <c r="C37" s="256"/>
      <c r="D37" s="256"/>
      <c r="E37" s="256"/>
      <c r="F37" s="256"/>
      <c r="G37" s="262"/>
      <c r="H37" s="340">
        <v>28</v>
      </c>
    </row>
  </sheetData>
  <mergeCells count="19">
    <mergeCell ref="A1:H1"/>
    <mergeCell ref="A30:A32"/>
    <mergeCell ref="A33:E33"/>
    <mergeCell ref="F33:H33"/>
    <mergeCell ref="A34:A35"/>
    <mergeCell ref="A8:E8"/>
    <mergeCell ref="F8:H8"/>
    <mergeCell ref="A3:A7"/>
    <mergeCell ref="A9:A16"/>
    <mergeCell ref="A17:E17"/>
    <mergeCell ref="F17:H17"/>
    <mergeCell ref="A36:E36"/>
    <mergeCell ref="F36:H36"/>
    <mergeCell ref="A23:E23"/>
    <mergeCell ref="F23:H23"/>
    <mergeCell ref="A18:A22"/>
    <mergeCell ref="A29:E29"/>
    <mergeCell ref="F29:H29"/>
    <mergeCell ref="A24:A28"/>
  </mergeCells>
  <pageMargins left="0.7" right="0.7" top="0.75" bottom="0.75" header="0.3" footer="0.3"/>
  <pageSetup scale="49" orientation="landscape" horizontalDpi="1200" verticalDpi="1200" r:id="rId1"/>
  <rowBreaks count="1" manualBreakCount="1">
    <brk id="1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8C28-1F5D-4C0D-A23D-A9ABDA7EB9CA}">
  <sheetPr>
    <tabColor theme="5" tint="0.79998168889431442"/>
  </sheetPr>
  <dimension ref="A1:H27"/>
  <sheetViews>
    <sheetView showGridLines="0" view="pageBreakPreview" zoomScale="60" zoomScaleNormal="100" workbookViewId="0">
      <selection activeCell="O8" sqref="O8"/>
    </sheetView>
  </sheetViews>
  <sheetFormatPr baseColWidth="10" defaultRowHeight="15" x14ac:dyDescent="0.25"/>
  <cols>
    <col min="1" max="1" width="23.140625" customWidth="1"/>
    <col min="2" max="3" width="19.5703125" style="7" customWidth="1"/>
    <col min="4" max="4" width="17.140625" style="8" customWidth="1"/>
    <col min="5" max="5" width="11.42578125" style="8"/>
    <col min="6" max="6" width="110.42578125" customWidth="1"/>
    <col min="7" max="7" width="25.7109375" style="8" customWidth="1"/>
    <col min="8" max="8" width="11.42578125" style="8"/>
  </cols>
  <sheetData>
    <row r="1" spans="1:8" ht="43.5" customHeight="1" thickBot="1" x14ac:dyDescent="0.3">
      <c r="A1" s="555" t="s">
        <v>641</v>
      </c>
      <c r="B1" s="540"/>
      <c r="C1" s="540"/>
      <c r="D1" s="540"/>
      <c r="E1" s="540"/>
      <c r="F1" s="540"/>
      <c r="G1" s="540"/>
      <c r="H1" s="540"/>
    </row>
    <row r="2" spans="1:8" ht="57.75" customHeight="1" thickTop="1" thickBot="1" x14ac:dyDescent="0.3">
      <c r="A2" s="14" t="s">
        <v>462</v>
      </c>
      <c r="B2" s="15" t="s">
        <v>368</v>
      </c>
      <c r="C2" s="15" t="s">
        <v>115</v>
      </c>
      <c r="D2" s="15" t="s">
        <v>339</v>
      </c>
      <c r="E2" s="15" t="s">
        <v>2</v>
      </c>
      <c r="F2" s="15" t="s">
        <v>119</v>
      </c>
      <c r="G2" s="253" t="s">
        <v>120</v>
      </c>
      <c r="H2" s="16" t="s">
        <v>592</v>
      </c>
    </row>
    <row r="3" spans="1:8" ht="75.75" customHeight="1" thickTop="1" x14ac:dyDescent="0.25">
      <c r="A3" s="556" t="s">
        <v>1</v>
      </c>
      <c r="B3" s="322" t="s">
        <v>369</v>
      </c>
      <c r="C3" s="12" t="s">
        <v>60</v>
      </c>
      <c r="D3" s="322" t="s">
        <v>133</v>
      </c>
      <c r="E3" s="12">
        <v>101</v>
      </c>
      <c r="F3" s="322" t="s">
        <v>327</v>
      </c>
      <c r="G3" s="332">
        <v>8000000</v>
      </c>
      <c r="H3" s="333">
        <v>1</v>
      </c>
    </row>
    <row r="4" spans="1:8" ht="30" x14ac:dyDescent="0.25">
      <c r="A4" s="557"/>
      <c r="B4" s="325" t="s">
        <v>374</v>
      </c>
      <c r="C4" s="13" t="s">
        <v>60</v>
      </c>
      <c r="D4" s="325" t="s">
        <v>133</v>
      </c>
      <c r="E4" s="13">
        <v>185</v>
      </c>
      <c r="F4" s="325" t="s">
        <v>485</v>
      </c>
      <c r="G4" s="334">
        <v>6000000</v>
      </c>
      <c r="H4" s="335">
        <v>1</v>
      </c>
    </row>
    <row r="5" spans="1:8" ht="15.75" thickBot="1" x14ac:dyDescent="0.3">
      <c r="A5" s="558"/>
      <c r="B5" s="328" t="s">
        <v>370</v>
      </c>
      <c r="C5" s="329" t="s">
        <v>110</v>
      </c>
      <c r="D5" s="328" t="s">
        <v>295</v>
      </c>
      <c r="E5" s="329">
        <v>148</v>
      </c>
      <c r="F5" s="328" t="s">
        <v>356</v>
      </c>
      <c r="G5" s="336">
        <v>51253802</v>
      </c>
      <c r="H5" s="337">
        <v>1</v>
      </c>
    </row>
    <row r="6" spans="1:8" s="18" customFormat="1" ht="22.5" thickTop="1" thickBot="1" x14ac:dyDescent="0.4">
      <c r="A6" s="545" t="s">
        <v>431</v>
      </c>
      <c r="B6" s="546"/>
      <c r="C6" s="546"/>
      <c r="D6" s="546"/>
      <c r="E6" s="546"/>
      <c r="F6" s="553">
        <v>3</v>
      </c>
      <c r="G6" s="553"/>
      <c r="H6" s="554">
        <v>3</v>
      </c>
    </row>
    <row r="7" spans="1:8" ht="30.75" thickTop="1" x14ac:dyDescent="0.25">
      <c r="A7" s="556" t="s">
        <v>5</v>
      </c>
      <c r="B7" s="322" t="s">
        <v>369</v>
      </c>
      <c r="C7" s="12" t="s">
        <v>60</v>
      </c>
      <c r="D7" s="323" t="s">
        <v>133</v>
      </c>
      <c r="E7" s="11">
        <v>41</v>
      </c>
      <c r="F7" s="324" t="s">
        <v>533</v>
      </c>
      <c r="G7" s="332">
        <v>15250000</v>
      </c>
      <c r="H7" s="333">
        <v>1</v>
      </c>
    </row>
    <row r="8" spans="1:8" ht="45" x14ac:dyDescent="0.25">
      <c r="A8" s="557"/>
      <c r="B8" s="325" t="s">
        <v>369</v>
      </c>
      <c r="C8" s="13" t="s">
        <v>60</v>
      </c>
      <c r="D8" s="326" t="s">
        <v>133</v>
      </c>
      <c r="E8" s="10">
        <v>51</v>
      </c>
      <c r="F8" s="327" t="s">
        <v>535</v>
      </c>
      <c r="G8" s="334">
        <v>8800000</v>
      </c>
      <c r="H8" s="335">
        <v>1</v>
      </c>
    </row>
    <row r="9" spans="1:8" ht="30" x14ac:dyDescent="0.25">
      <c r="A9" s="557"/>
      <c r="B9" s="325" t="s">
        <v>369</v>
      </c>
      <c r="C9" s="13" t="s">
        <v>60</v>
      </c>
      <c r="D9" s="326" t="s">
        <v>133</v>
      </c>
      <c r="E9" s="10">
        <v>243</v>
      </c>
      <c r="F9" s="327" t="s">
        <v>532</v>
      </c>
      <c r="G9" s="334">
        <v>13500000</v>
      </c>
      <c r="H9" s="335">
        <v>1</v>
      </c>
    </row>
    <row r="10" spans="1:8" ht="45" x14ac:dyDescent="0.25">
      <c r="A10" s="557"/>
      <c r="B10" s="325" t="s">
        <v>370</v>
      </c>
      <c r="C10" s="13" t="s">
        <v>60</v>
      </c>
      <c r="D10" s="326" t="s">
        <v>308</v>
      </c>
      <c r="E10" s="10">
        <v>168</v>
      </c>
      <c r="F10" s="327" t="s">
        <v>387</v>
      </c>
      <c r="G10" s="334">
        <v>6593200</v>
      </c>
      <c r="H10" s="335">
        <v>1</v>
      </c>
    </row>
    <row r="11" spans="1:8" x14ac:dyDescent="0.25">
      <c r="A11" s="557"/>
      <c r="B11" s="325" t="s">
        <v>370</v>
      </c>
      <c r="C11" s="13" t="s">
        <v>70</v>
      </c>
      <c r="D11" s="326" t="s">
        <v>308</v>
      </c>
      <c r="E11" s="10">
        <v>179</v>
      </c>
      <c r="F11" s="327" t="s">
        <v>380</v>
      </c>
      <c r="G11" s="334">
        <v>15000000</v>
      </c>
      <c r="H11" s="335">
        <v>1</v>
      </c>
    </row>
    <row r="12" spans="1:8" ht="45.75" thickBot="1" x14ac:dyDescent="0.3">
      <c r="A12" s="558"/>
      <c r="B12" s="328" t="s">
        <v>370</v>
      </c>
      <c r="C12" s="329" t="s">
        <v>112</v>
      </c>
      <c r="D12" s="330" t="s">
        <v>308</v>
      </c>
      <c r="E12" s="338">
        <v>55</v>
      </c>
      <c r="F12" s="331" t="s">
        <v>259</v>
      </c>
      <c r="G12" s="336">
        <v>20000000</v>
      </c>
      <c r="H12" s="337">
        <v>1</v>
      </c>
    </row>
    <row r="13" spans="1:8" s="18" customFormat="1" ht="22.5" thickTop="1" thickBot="1" x14ac:dyDescent="0.4">
      <c r="A13" s="545" t="s">
        <v>432</v>
      </c>
      <c r="B13" s="546"/>
      <c r="C13" s="546"/>
      <c r="D13" s="546"/>
      <c r="E13" s="546"/>
      <c r="F13" s="553">
        <v>6</v>
      </c>
      <c r="G13" s="553"/>
      <c r="H13" s="554">
        <v>6</v>
      </c>
    </row>
    <row r="14" spans="1:8" ht="30.75" thickTop="1" x14ac:dyDescent="0.25">
      <c r="A14" s="556" t="s">
        <v>36</v>
      </c>
      <c r="B14" s="322" t="s">
        <v>369</v>
      </c>
      <c r="C14" s="12" t="s">
        <v>60</v>
      </c>
      <c r="D14" s="323" t="s">
        <v>133</v>
      </c>
      <c r="E14" s="11">
        <v>66</v>
      </c>
      <c r="F14" s="324" t="s">
        <v>341</v>
      </c>
      <c r="G14" s="332">
        <v>15250000</v>
      </c>
      <c r="H14" s="333">
        <v>1</v>
      </c>
    </row>
    <row r="15" spans="1:8" ht="30" x14ac:dyDescent="0.25">
      <c r="A15" s="557"/>
      <c r="B15" s="325" t="s">
        <v>370</v>
      </c>
      <c r="C15" s="13" t="s">
        <v>109</v>
      </c>
      <c r="D15" s="326" t="s">
        <v>389</v>
      </c>
      <c r="E15" s="10">
        <v>68</v>
      </c>
      <c r="F15" s="327" t="s">
        <v>79</v>
      </c>
      <c r="G15" s="334">
        <v>6500000</v>
      </c>
      <c r="H15" s="335">
        <v>1</v>
      </c>
    </row>
    <row r="16" spans="1:8" ht="30" x14ac:dyDescent="0.25">
      <c r="A16" s="557"/>
      <c r="B16" s="325" t="s">
        <v>370</v>
      </c>
      <c r="C16" s="13" t="s">
        <v>70</v>
      </c>
      <c r="D16" s="326" t="s">
        <v>389</v>
      </c>
      <c r="E16" s="10">
        <v>82</v>
      </c>
      <c r="F16" s="327" t="s">
        <v>93</v>
      </c>
      <c r="G16" s="334">
        <v>11500000</v>
      </c>
      <c r="H16" s="335">
        <v>1</v>
      </c>
    </row>
    <row r="17" spans="1:8" ht="15.75" thickBot="1" x14ac:dyDescent="0.3">
      <c r="A17" s="558"/>
      <c r="B17" s="328" t="s">
        <v>370</v>
      </c>
      <c r="C17" s="329" t="s">
        <v>70</v>
      </c>
      <c r="D17" s="330" t="s">
        <v>389</v>
      </c>
      <c r="E17" s="338">
        <v>184</v>
      </c>
      <c r="F17" s="331" t="s">
        <v>470</v>
      </c>
      <c r="G17" s="336">
        <v>4000000</v>
      </c>
      <c r="H17" s="337">
        <v>1</v>
      </c>
    </row>
    <row r="18" spans="1:8" s="18" customFormat="1" ht="22.5" thickTop="1" thickBot="1" x14ac:dyDescent="0.4">
      <c r="A18" s="545" t="s">
        <v>433</v>
      </c>
      <c r="B18" s="546"/>
      <c r="C18" s="546"/>
      <c r="D18" s="546"/>
      <c r="E18" s="546"/>
      <c r="F18" s="553">
        <v>4</v>
      </c>
      <c r="G18" s="553"/>
      <c r="H18" s="554">
        <v>4</v>
      </c>
    </row>
    <row r="19" spans="1:8" ht="46.5" thickTop="1" thickBot="1" x14ac:dyDescent="0.3">
      <c r="A19" s="341" t="s">
        <v>0</v>
      </c>
      <c r="B19" s="341" t="s">
        <v>369</v>
      </c>
      <c r="C19" s="342" t="s">
        <v>60</v>
      </c>
      <c r="D19" s="343" t="s">
        <v>133</v>
      </c>
      <c r="E19" s="344">
        <v>155</v>
      </c>
      <c r="F19" s="345" t="s">
        <v>546</v>
      </c>
      <c r="G19" s="346">
        <v>15000000</v>
      </c>
      <c r="H19" s="347">
        <v>1</v>
      </c>
    </row>
    <row r="20" spans="1:8" s="18" customFormat="1" ht="22.5" thickTop="1" thickBot="1" x14ac:dyDescent="0.4">
      <c r="A20" s="545" t="s">
        <v>434</v>
      </c>
      <c r="B20" s="546"/>
      <c r="C20" s="546"/>
      <c r="D20" s="546"/>
      <c r="E20" s="546"/>
      <c r="F20" s="553">
        <v>1</v>
      </c>
      <c r="G20" s="553"/>
      <c r="H20" s="554">
        <v>1</v>
      </c>
    </row>
    <row r="21" spans="1:8" ht="46.5" thickTop="1" thickBot="1" x14ac:dyDescent="0.3">
      <c r="A21" s="341" t="s">
        <v>4</v>
      </c>
      <c r="B21" s="341" t="s">
        <v>370</v>
      </c>
      <c r="C21" s="342" t="s">
        <v>60</v>
      </c>
      <c r="D21" s="341" t="s">
        <v>291</v>
      </c>
      <c r="E21" s="344">
        <v>21</v>
      </c>
      <c r="F21" s="341" t="s">
        <v>311</v>
      </c>
      <c r="G21" s="346">
        <v>298100000</v>
      </c>
      <c r="H21" s="347">
        <v>1</v>
      </c>
    </row>
    <row r="22" spans="1:8" s="18" customFormat="1" ht="49.5" customHeight="1" thickTop="1" thickBot="1" x14ac:dyDescent="0.4">
      <c r="A22" s="545" t="s">
        <v>435</v>
      </c>
      <c r="B22" s="546"/>
      <c r="C22" s="546"/>
      <c r="D22" s="546"/>
      <c r="E22" s="546"/>
      <c r="F22" s="553">
        <v>1</v>
      </c>
      <c r="G22" s="553"/>
      <c r="H22" s="554">
        <v>1</v>
      </c>
    </row>
    <row r="23" spans="1:8" ht="31.5" thickTop="1" thickBot="1" x14ac:dyDescent="0.3">
      <c r="A23" s="345" t="s">
        <v>3</v>
      </c>
      <c r="B23" s="341" t="s">
        <v>370</v>
      </c>
      <c r="C23" s="342" t="s">
        <v>70</v>
      </c>
      <c r="D23" s="343" t="s">
        <v>308</v>
      </c>
      <c r="E23" s="344">
        <v>139</v>
      </c>
      <c r="F23" s="345" t="s">
        <v>454</v>
      </c>
      <c r="G23" s="346">
        <v>12090759</v>
      </c>
      <c r="H23" s="347">
        <v>1</v>
      </c>
    </row>
    <row r="24" spans="1:8" s="18" customFormat="1" ht="22.5" thickTop="1" thickBot="1" x14ac:dyDescent="0.4">
      <c r="A24" s="545" t="s">
        <v>436</v>
      </c>
      <c r="B24" s="546"/>
      <c r="C24" s="546"/>
      <c r="D24" s="546"/>
      <c r="E24" s="546"/>
      <c r="F24" s="553">
        <v>1</v>
      </c>
      <c r="G24" s="553"/>
      <c r="H24" s="554">
        <v>1</v>
      </c>
    </row>
    <row r="25" spans="1:8" ht="61.5" thickTop="1" thickBot="1" x14ac:dyDescent="0.3">
      <c r="A25" s="341" t="s">
        <v>19</v>
      </c>
      <c r="B25" s="341" t="s">
        <v>370</v>
      </c>
      <c r="C25" s="342" t="s">
        <v>60</v>
      </c>
      <c r="D25" s="343" t="s">
        <v>291</v>
      </c>
      <c r="E25" s="344">
        <v>127</v>
      </c>
      <c r="F25" s="345" t="s">
        <v>582</v>
      </c>
      <c r="G25" s="346">
        <v>200000000</v>
      </c>
      <c r="H25" s="347">
        <v>1</v>
      </c>
    </row>
    <row r="26" spans="1:8" s="18" customFormat="1" ht="22.5" thickTop="1" thickBot="1" x14ac:dyDescent="0.4">
      <c r="A26" s="545" t="s">
        <v>437</v>
      </c>
      <c r="B26" s="546"/>
      <c r="C26" s="546"/>
      <c r="D26" s="546"/>
      <c r="E26" s="546"/>
      <c r="F26" s="553">
        <v>1</v>
      </c>
      <c r="G26" s="553"/>
      <c r="H26" s="554">
        <v>1</v>
      </c>
    </row>
    <row r="27" spans="1:8" ht="15.75" thickTop="1" x14ac:dyDescent="0.25">
      <c r="A27" s="249" t="s">
        <v>364</v>
      </c>
      <c r="B27" s="256"/>
      <c r="C27" s="256"/>
      <c r="D27" s="256"/>
      <c r="E27" s="256"/>
      <c r="F27" s="249"/>
      <c r="G27" s="339"/>
      <c r="H27" s="340">
        <v>17</v>
      </c>
    </row>
  </sheetData>
  <mergeCells count="18">
    <mergeCell ref="A1:H1"/>
    <mergeCell ref="A18:E18"/>
    <mergeCell ref="F18:H18"/>
    <mergeCell ref="A14:A17"/>
    <mergeCell ref="A20:E20"/>
    <mergeCell ref="F20:H20"/>
    <mergeCell ref="A6:E6"/>
    <mergeCell ref="F6:H6"/>
    <mergeCell ref="A3:A5"/>
    <mergeCell ref="A13:E13"/>
    <mergeCell ref="F13:H13"/>
    <mergeCell ref="A7:A12"/>
    <mergeCell ref="A24:E24"/>
    <mergeCell ref="F24:H24"/>
    <mergeCell ref="A26:E26"/>
    <mergeCell ref="F26:H26"/>
    <mergeCell ref="A22:E22"/>
    <mergeCell ref="F22:H22"/>
  </mergeCells>
  <pageMargins left="0.7" right="0.7" top="0.75" bottom="0.75" header="0.3" footer="0.3"/>
  <pageSetup scale="48" orientation="landscape" horizontalDpi="1200" verticalDpi="1200" r:id="rId1"/>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C39F-719D-4D80-AE24-F695E0A1657F}">
  <sheetPr>
    <tabColor theme="5" tint="0.79998168889431442"/>
  </sheetPr>
  <dimension ref="A1:H11"/>
  <sheetViews>
    <sheetView showGridLines="0" view="pageBreakPreview" zoomScale="60" zoomScaleNormal="100" workbookViewId="0">
      <selection activeCell="F18" sqref="F18"/>
    </sheetView>
  </sheetViews>
  <sheetFormatPr baseColWidth="10" defaultRowHeight="15" x14ac:dyDescent="0.25"/>
  <cols>
    <col min="1" max="1" width="17.85546875" customWidth="1"/>
    <col min="2" max="2" width="27.85546875" style="7" customWidth="1"/>
    <col min="3" max="3" width="18.7109375" style="7" customWidth="1"/>
    <col min="4" max="5" width="11.42578125" style="7"/>
    <col min="6" max="6" width="91.85546875" style="7" customWidth="1"/>
    <col min="7" max="7" width="23.28515625" style="6" customWidth="1"/>
    <col min="8" max="8" width="11.42578125" style="8"/>
  </cols>
  <sheetData>
    <row r="1" spans="1:8" ht="36.75" customHeight="1" thickBot="1" x14ac:dyDescent="0.3">
      <c r="A1" s="552" t="s">
        <v>642</v>
      </c>
      <c r="B1" s="552"/>
      <c r="C1" s="552"/>
      <c r="D1" s="552"/>
      <c r="E1" s="552"/>
      <c r="F1" s="552"/>
      <c r="G1" s="552"/>
      <c r="H1" s="552"/>
    </row>
    <row r="2" spans="1:8" ht="57.75" customHeight="1" thickTop="1" thickBot="1" x14ac:dyDescent="0.3">
      <c r="A2" s="14" t="s">
        <v>39</v>
      </c>
      <c r="B2" s="15" t="s">
        <v>368</v>
      </c>
      <c r="C2" s="15" t="s">
        <v>115</v>
      </c>
      <c r="D2" s="15" t="s">
        <v>339</v>
      </c>
      <c r="E2" s="15" t="s">
        <v>2</v>
      </c>
      <c r="F2" s="15" t="s">
        <v>119</v>
      </c>
      <c r="G2" s="253" t="s">
        <v>120</v>
      </c>
      <c r="H2" s="16" t="s">
        <v>430</v>
      </c>
    </row>
    <row r="3" spans="1:8" ht="30.75" thickTop="1" x14ac:dyDescent="0.25">
      <c r="A3" s="556" t="s">
        <v>5</v>
      </c>
      <c r="B3" s="322" t="s">
        <v>369</v>
      </c>
      <c r="C3" s="12" t="s">
        <v>109</v>
      </c>
      <c r="D3" s="322" t="s">
        <v>308</v>
      </c>
      <c r="E3" s="12">
        <v>245</v>
      </c>
      <c r="F3" s="322" t="s">
        <v>637</v>
      </c>
      <c r="G3" s="332">
        <v>9410282</v>
      </c>
      <c r="H3" s="333">
        <v>1</v>
      </c>
    </row>
    <row r="4" spans="1:8" ht="30" x14ac:dyDescent="0.25">
      <c r="A4" s="557"/>
      <c r="B4" s="325" t="s">
        <v>374</v>
      </c>
      <c r="C4" s="13" t="s">
        <v>70</v>
      </c>
      <c r="D4" s="325" t="s">
        <v>308</v>
      </c>
      <c r="E4" s="13">
        <v>247</v>
      </c>
      <c r="F4" s="325" t="s">
        <v>640</v>
      </c>
      <c r="G4" s="334">
        <v>20506750</v>
      </c>
      <c r="H4" s="335">
        <v>1</v>
      </c>
    </row>
    <row r="5" spans="1:8" ht="30" x14ac:dyDescent="0.25">
      <c r="A5" s="557"/>
      <c r="B5" s="325" t="s">
        <v>370</v>
      </c>
      <c r="C5" s="13" t="s">
        <v>109</v>
      </c>
      <c r="D5" s="325" t="s">
        <v>308</v>
      </c>
      <c r="E5" s="13">
        <v>244</v>
      </c>
      <c r="F5" s="325" t="s">
        <v>583</v>
      </c>
      <c r="G5" s="334">
        <v>38000000</v>
      </c>
      <c r="H5" s="335">
        <v>1</v>
      </c>
    </row>
    <row r="6" spans="1:8" ht="30" x14ac:dyDescent="0.25">
      <c r="A6" s="557"/>
      <c r="B6" s="325" t="s">
        <v>370</v>
      </c>
      <c r="C6" s="13" t="s">
        <v>109</v>
      </c>
      <c r="D6" s="325" t="s">
        <v>308</v>
      </c>
      <c r="E6" s="13">
        <v>246</v>
      </c>
      <c r="F6" s="325" t="s">
        <v>639</v>
      </c>
      <c r="G6" s="334">
        <v>4784962</v>
      </c>
      <c r="H6" s="335">
        <v>1</v>
      </c>
    </row>
    <row r="7" spans="1:8" ht="45.75" thickBot="1" x14ac:dyDescent="0.3">
      <c r="A7" s="558"/>
      <c r="B7" s="328" t="s">
        <v>370</v>
      </c>
      <c r="C7" s="329" t="s">
        <v>60</v>
      </c>
      <c r="D7" s="328" t="s">
        <v>133</v>
      </c>
      <c r="E7" s="329">
        <v>161</v>
      </c>
      <c r="F7" s="328" t="s">
        <v>280</v>
      </c>
      <c r="G7" s="336">
        <v>8000000</v>
      </c>
      <c r="H7" s="337">
        <v>1</v>
      </c>
    </row>
    <row r="8" spans="1:8" s="18" customFormat="1" ht="22.5" thickTop="1" thickBot="1" x14ac:dyDescent="0.4">
      <c r="A8" s="545" t="s">
        <v>432</v>
      </c>
      <c r="B8" s="546"/>
      <c r="C8" s="546"/>
      <c r="D8" s="546"/>
      <c r="E8" s="546"/>
      <c r="F8" s="553">
        <v>6</v>
      </c>
      <c r="G8" s="553"/>
      <c r="H8" s="554">
        <v>5</v>
      </c>
    </row>
    <row r="9" spans="1:8" ht="84" customHeight="1" thickTop="1" thickBot="1" x14ac:dyDescent="0.3">
      <c r="A9" s="341" t="s">
        <v>0</v>
      </c>
      <c r="B9" s="341" t="s">
        <v>369</v>
      </c>
      <c r="C9" s="342" t="s">
        <v>60</v>
      </c>
      <c r="D9" s="341" t="s">
        <v>133</v>
      </c>
      <c r="E9" s="342">
        <v>157</v>
      </c>
      <c r="F9" s="341" t="s">
        <v>545</v>
      </c>
      <c r="G9" s="346">
        <v>13500000</v>
      </c>
      <c r="H9" s="347">
        <v>1</v>
      </c>
    </row>
    <row r="10" spans="1:8" s="18" customFormat="1" ht="22.5" thickTop="1" thickBot="1" x14ac:dyDescent="0.4">
      <c r="A10" s="545" t="s">
        <v>434</v>
      </c>
      <c r="B10" s="546"/>
      <c r="C10" s="546"/>
      <c r="D10" s="546"/>
      <c r="E10" s="546"/>
      <c r="F10" s="553">
        <v>1</v>
      </c>
      <c r="G10" s="553"/>
      <c r="H10" s="554">
        <v>1</v>
      </c>
    </row>
    <row r="11" spans="1:8" ht="15.75" thickTop="1" x14ac:dyDescent="0.25">
      <c r="A11" s="249" t="s">
        <v>364</v>
      </c>
      <c r="B11" s="256"/>
      <c r="C11" s="256"/>
      <c r="D11" s="256"/>
      <c r="E11" s="256"/>
      <c r="F11" s="256"/>
      <c r="G11" s="262"/>
      <c r="H11" s="340">
        <v>6</v>
      </c>
    </row>
  </sheetData>
  <mergeCells count="6">
    <mergeCell ref="A1:H1"/>
    <mergeCell ref="A8:E8"/>
    <mergeCell ref="F8:H8"/>
    <mergeCell ref="A10:E10"/>
    <mergeCell ref="F10:H10"/>
    <mergeCell ref="A3:A7"/>
  </mergeCells>
  <pageMargins left="0.7" right="0.7" top="0.75" bottom="0.75" header="0.3" footer="0.3"/>
  <pageSetup scale="5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3A815-94AE-42A1-8CCD-D60EF2479BCE}">
  <dimension ref="A1:H23"/>
  <sheetViews>
    <sheetView view="pageBreakPreview" topLeftCell="A7" zoomScale="60" zoomScaleNormal="100" workbookViewId="0">
      <selection activeCell="F6" sqref="F6:H6"/>
    </sheetView>
  </sheetViews>
  <sheetFormatPr baseColWidth="10" defaultRowHeight="15" x14ac:dyDescent="0.25"/>
  <cols>
    <col min="1" max="1" width="33.85546875" customWidth="1"/>
    <col min="2" max="2" width="17.85546875" style="8" customWidth="1"/>
    <col min="3" max="3" width="24.28515625" style="7" customWidth="1"/>
    <col min="4" max="4" width="19.28515625" style="7" customWidth="1"/>
    <col min="5" max="5" width="7.5703125" style="8" customWidth="1"/>
    <col min="6" max="6" width="125.140625" style="7" customWidth="1"/>
    <col min="7" max="7" width="37.140625" customWidth="1"/>
    <col min="8" max="8" width="15.42578125" customWidth="1"/>
  </cols>
  <sheetData>
    <row r="1" spans="1:8" ht="47.25" customHeight="1" x14ac:dyDescent="0.25">
      <c r="A1" s="559" t="s">
        <v>668</v>
      </c>
      <c r="B1" s="559"/>
      <c r="C1" s="559"/>
      <c r="D1" s="559"/>
      <c r="E1" s="559"/>
      <c r="F1" s="559"/>
      <c r="G1" s="559"/>
      <c r="H1" s="559"/>
    </row>
    <row r="2" spans="1:8" ht="15.75" thickBot="1" x14ac:dyDescent="0.3"/>
    <row r="3" spans="1:8" ht="57.75" customHeight="1" thickTop="1" thickBot="1" x14ac:dyDescent="0.3">
      <c r="A3" s="365" t="s">
        <v>39</v>
      </c>
      <c r="B3" s="366" t="s">
        <v>368</v>
      </c>
      <c r="C3" s="366" t="s">
        <v>115</v>
      </c>
      <c r="D3" s="366" t="s">
        <v>339</v>
      </c>
      <c r="E3" s="366" t="s">
        <v>2</v>
      </c>
      <c r="F3" s="366" t="s">
        <v>119</v>
      </c>
      <c r="G3" s="367" t="s">
        <v>120</v>
      </c>
      <c r="H3" s="368" t="s">
        <v>429</v>
      </c>
    </row>
    <row r="4" spans="1:8" ht="69.75" customHeight="1" thickTop="1" x14ac:dyDescent="0.3">
      <c r="A4" s="564" t="s">
        <v>1</v>
      </c>
      <c r="B4" s="388" t="s">
        <v>369</v>
      </c>
      <c r="C4" s="391" t="s">
        <v>60</v>
      </c>
      <c r="D4" s="371" t="s">
        <v>133</v>
      </c>
      <c r="E4" s="370">
        <v>27</v>
      </c>
      <c r="F4" s="371" t="s">
        <v>326</v>
      </c>
      <c r="G4" s="372">
        <v>12600000</v>
      </c>
      <c r="H4" s="373">
        <v>1</v>
      </c>
    </row>
    <row r="5" spans="1:8" ht="71.25" customHeight="1" x14ac:dyDescent="0.3">
      <c r="A5" s="565"/>
      <c r="B5" s="389" t="s">
        <v>374</v>
      </c>
      <c r="C5" s="392" t="s">
        <v>70</v>
      </c>
      <c r="D5" s="376" t="s">
        <v>397</v>
      </c>
      <c r="E5" s="375">
        <v>173</v>
      </c>
      <c r="F5" s="376" t="s">
        <v>396</v>
      </c>
      <c r="G5" s="377">
        <v>20000000</v>
      </c>
      <c r="H5" s="378">
        <v>1</v>
      </c>
    </row>
    <row r="6" spans="1:8" ht="54.75" customHeight="1" x14ac:dyDescent="0.3">
      <c r="A6" s="565"/>
      <c r="B6" s="389" t="s">
        <v>423</v>
      </c>
      <c r="C6" s="392" t="s">
        <v>110</v>
      </c>
      <c r="D6" s="376" t="s">
        <v>295</v>
      </c>
      <c r="E6" s="375">
        <v>182</v>
      </c>
      <c r="F6" s="376" t="s">
        <v>469</v>
      </c>
      <c r="G6" s="377">
        <v>0</v>
      </c>
      <c r="H6" s="378">
        <v>1</v>
      </c>
    </row>
    <row r="7" spans="1:8" ht="50.25" customHeight="1" x14ac:dyDescent="0.3">
      <c r="A7" s="565"/>
      <c r="B7" s="389" t="s">
        <v>464</v>
      </c>
      <c r="C7" s="392" t="s">
        <v>319</v>
      </c>
      <c r="D7" s="376" t="s">
        <v>471</v>
      </c>
      <c r="E7" s="375">
        <v>143</v>
      </c>
      <c r="F7" s="376" t="s">
        <v>318</v>
      </c>
      <c r="G7" s="377">
        <v>445000000</v>
      </c>
      <c r="H7" s="378">
        <v>1</v>
      </c>
    </row>
    <row r="8" spans="1:8" ht="50.25" customHeight="1" thickBot="1" x14ac:dyDescent="0.35">
      <c r="A8" s="566"/>
      <c r="B8" s="390" t="s">
        <v>464</v>
      </c>
      <c r="C8" s="393" t="s">
        <v>320</v>
      </c>
      <c r="D8" s="381" t="s">
        <v>308</v>
      </c>
      <c r="E8" s="380">
        <v>149</v>
      </c>
      <c r="F8" s="381" t="s">
        <v>456</v>
      </c>
      <c r="G8" s="382">
        <v>150000000</v>
      </c>
      <c r="H8" s="383">
        <v>1</v>
      </c>
    </row>
    <row r="9" spans="1:8" s="18" customFormat="1" ht="22.5" thickTop="1" thickBot="1" x14ac:dyDescent="0.4">
      <c r="A9" s="560" t="s">
        <v>431</v>
      </c>
      <c r="B9" s="561"/>
      <c r="C9" s="561"/>
      <c r="D9" s="561"/>
      <c r="E9" s="561"/>
      <c r="F9" s="562">
        <v>5</v>
      </c>
      <c r="G9" s="562"/>
      <c r="H9" s="563">
        <v>5</v>
      </c>
    </row>
    <row r="10" spans="1:8" ht="72" customHeight="1" thickTop="1" x14ac:dyDescent="0.3">
      <c r="A10" s="564" t="s">
        <v>0</v>
      </c>
      <c r="B10" s="388" t="s">
        <v>369</v>
      </c>
      <c r="C10" s="391" t="s">
        <v>60</v>
      </c>
      <c r="D10" s="371" t="s">
        <v>133</v>
      </c>
      <c r="E10" s="370">
        <v>33</v>
      </c>
      <c r="F10" s="371" t="s">
        <v>329</v>
      </c>
      <c r="G10" s="372">
        <v>16500000</v>
      </c>
      <c r="H10" s="373">
        <v>1</v>
      </c>
    </row>
    <row r="11" spans="1:8" ht="82.5" customHeight="1" x14ac:dyDescent="0.3">
      <c r="A11" s="565"/>
      <c r="B11" s="389" t="s">
        <v>369</v>
      </c>
      <c r="C11" s="392" t="s">
        <v>60</v>
      </c>
      <c r="D11" s="376" t="s">
        <v>133</v>
      </c>
      <c r="E11" s="375">
        <v>107</v>
      </c>
      <c r="F11" s="376" t="s">
        <v>332</v>
      </c>
      <c r="G11" s="377">
        <v>15000000</v>
      </c>
      <c r="H11" s="378">
        <v>1</v>
      </c>
    </row>
    <row r="12" spans="1:8" ht="78.75" customHeight="1" x14ac:dyDescent="0.3">
      <c r="A12" s="565"/>
      <c r="B12" s="389" t="s">
        <v>369</v>
      </c>
      <c r="C12" s="392" t="s">
        <v>60</v>
      </c>
      <c r="D12" s="376" t="s">
        <v>133</v>
      </c>
      <c r="E12" s="375">
        <v>153</v>
      </c>
      <c r="F12" s="376" t="s">
        <v>479</v>
      </c>
      <c r="G12" s="377">
        <v>14000000</v>
      </c>
      <c r="H12" s="378">
        <v>1</v>
      </c>
    </row>
    <row r="13" spans="1:8" ht="69" customHeight="1" x14ac:dyDescent="0.3">
      <c r="A13" s="565"/>
      <c r="B13" s="389" t="s">
        <v>369</v>
      </c>
      <c r="C13" s="392" t="s">
        <v>60</v>
      </c>
      <c r="D13" s="376" t="s">
        <v>133</v>
      </c>
      <c r="E13" s="375">
        <v>154</v>
      </c>
      <c r="F13" s="376" t="s">
        <v>336</v>
      </c>
      <c r="G13" s="377">
        <v>28000000</v>
      </c>
      <c r="H13" s="378">
        <v>1</v>
      </c>
    </row>
    <row r="14" spans="1:8" ht="74.25" customHeight="1" thickBot="1" x14ac:dyDescent="0.35">
      <c r="A14" s="566"/>
      <c r="B14" s="390" t="s">
        <v>369</v>
      </c>
      <c r="C14" s="393" t="s">
        <v>60</v>
      </c>
      <c r="D14" s="381" t="s">
        <v>133</v>
      </c>
      <c r="E14" s="380">
        <v>156</v>
      </c>
      <c r="F14" s="381" t="s">
        <v>544</v>
      </c>
      <c r="G14" s="382">
        <v>15000000</v>
      </c>
      <c r="H14" s="383">
        <v>1</v>
      </c>
    </row>
    <row r="15" spans="1:8" s="18" customFormat="1" ht="22.5" thickTop="1" thickBot="1" x14ac:dyDescent="0.4">
      <c r="A15" s="560" t="s">
        <v>434</v>
      </c>
      <c r="B15" s="561"/>
      <c r="C15" s="561"/>
      <c r="D15" s="561"/>
      <c r="E15" s="561"/>
      <c r="F15" s="562">
        <v>5</v>
      </c>
      <c r="G15" s="562"/>
      <c r="H15" s="563">
        <v>5</v>
      </c>
    </row>
    <row r="16" spans="1:8" ht="68.25" customHeight="1" thickTop="1" x14ac:dyDescent="0.3">
      <c r="A16" s="564" t="s">
        <v>3</v>
      </c>
      <c r="B16" s="388" t="s">
        <v>369</v>
      </c>
      <c r="C16" s="391" t="s">
        <v>60</v>
      </c>
      <c r="D16" s="371" t="s">
        <v>133</v>
      </c>
      <c r="E16" s="370">
        <v>17</v>
      </c>
      <c r="F16" s="371" t="s">
        <v>466</v>
      </c>
      <c r="G16" s="372">
        <v>18000000</v>
      </c>
      <c r="H16" s="373">
        <v>1</v>
      </c>
    </row>
    <row r="17" spans="1:8" ht="69.75" customHeight="1" x14ac:dyDescent="0.3">
      <c r="A17" s="565"/>
      <c r="B17" s="389" t="s">
        <v>369</v>
      </c>
      <c r="C17" s="392" t="s">
        <v>60</v>
      </c>
      <c r="D17" s="376" t="s">
        <v>133</v>
      </c>
      <c r="E17" s="375">
        <v>18</v>
      </c>
      <c r="F17" s="376" t="s">
        <v>468</v>
      </c>
      <c r="G17" s="377">
        <v>11000000</v>
      </c>
      <c r="H17" s="378">
        <v>1</v>
      </c>
    </row>
    <row r="18" spans="1:8" ht="85.5" customHeight="1" thickBot="1" x14ac:dyDescent="0.35">
      <c r="A18" s="566"/>
      <c r="B18" s="390" t="s">
        <v>369</v>
      </c>
      <c r="C18" s="393" t="s">
        <v>60</v>
      </c>
      <c r="D18" s="381" t="s">
        <v>133</v>
      </c>
      <c r="E18" s="380">
        <v>140</v>
      </c>
      <c r="F18" s="381" t="s">
        <v>467</v>
      </c>
      <c r="G18" s="382">
        <v>18500000</v>
      </c>
      <c r="H18" s="383">
        <v>1</v>
      </c>
    </row>
    <row r="19" spans="1:8" s="18" customFormat="1" ht="22.5" thickTop="1" thickBot="1" x14ac:dyDescent="0.4">
      <c r="A19" s="560" t="s">
        <v>436</v>
      </c>
      <c r="B19" s="561"/>
      <c r="C19" s="561"/>
      <c r="D19" s="561"/>
      <c r="E19" s="561"/>
      <c r="F19" s="562">
        <v>3</v>
      </c>
      <c r="G19" s="562"/>
      <c r="H19" s="563">
        <v>3</v>
      </c>
    </row>
    <row r="20" spans="1:8" ht="55.5" customHeight="1" thickTop="1" x14ac:dyDescent="0.3">
      <c r="A20" s="564" t="s">
        <v>19</v>
      </c>
      <c r="B20" s="388" t="s">
        <v>369</v>
      </c>
      <c r="C20" s="391" t="s">
        <v>60</v>
      </c>
      <c r="D20" s="371" t="s">
        <v>133</v>
      </c>
      <c r="E20" s="370">
        <v>133</v>
      </c>
      <c r="F20" s="371" t="s">
        <v>298</v>
      </c>
      <c r="G20" s="372">
        <v>23466666</v>
      </c>
      <c r="H20" s="373">
        <v>1</v>
      </c>
    </row>
    <row r="21" spans="1:8" ht="64.5" customHeight="1" thickBot="1" x14ac:dyDescent="0.35">
      <c r="A21" s="566"/>
      <c r="B21" s="390" t="s">
        <v>370</v>
      </c>
      <c r="C21" s="393" t="s">
        <v>60</v>
      </c>
      <c r="D21" s="381" t="s">
        <v>133</v>
      </c>
      <c r="E21" s="380">
        <v>129</v>
      </c>
      <c r="F21" s="381" t="s">
        <v>292</v>
      </c>
      <c r="G21" s="382">
        <v>16500000</v>
      </c>
      <c r="H21" s="383">
        <v>1</v>
      </c>
    </row>
    <row r="22" spans="1:8" s="18" customFormat="1" ht="22.5" thickTop="1" thickBot="1" x14ac:dyDescent="0.4">
      <c r="A22" s="560" t="s">
        <v>437</v>
      </c>
      <c r="B22" s="561"/>
      <c r="C22" s="561"/>
      <c r="D22" s="561"/>
      <c r="E22" s="561"/>
      <c r="F22" s="562">
        <v>2</v>
      </c>
      <c r="G22" s="562"/>
      <c r="H22" s="563">
        <v>2</v>
      </c>
    </row>
    <row r="23" spans="1:8" ht="20.25" thickTop="1" x14ac:dyDescent="0.3">
      <c r="A23" s="384" t="s">
        <v>364</v>
      </c>
      <c r="B23" s="385"/>
      <c r="C23" s="385"/>
      <c r="D23" s="385"/>
      <c r="E23" s="385"/>
      <c r="F23" s="385"/>
      <c r="G23" s="386"/>
      <c r="H23" s="387">
        <v>15</v>
      </c>
    </row>
  </sheetData>
  <mergeCells count="13">
    <mergeCell ref="A1:H1"/>
    <mergeCell ref="A22:E22"/>
    <mergeCell ref="F22:H22"/>
    <mergeCell ref="A4:A8"/>
    <mergeCell ref="A10:A14"/>
    <mergeCell ref="A16:A18"/>
    <mergeCell ref="A20:A21"/>
    <mergeCell ref="A9:E9"/>
    <mergeCell ref="F9:H9"/>
    <mergeCell ref="A15:E15"/>
    <mergeCell ref="F15:H15"/>
    <mergeCell ref="A19:E19"/>
    <mergeCell ref="F19:H19"/>
  </mergeCells>
  <pageMargins left="0.7" right="0.7" top="0.75" bottom="0.75" header="0.3" footer="0.3"/>
  <pageSetup scale="4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A60E6-E240-4692-84BF-0257E9F2562A}">
  <dimension ref="A1:H15"/>
  <sheetViews>
    <sheetView view="pageBreakPreview" topLeftCell="A10" zoomScaleNormal="100" zoomScaleSheetLayoutView="100" workbookViewId="0">
      <selection activeCell="F6" sqref="F6:H6"/>
    </sheetView>
  </sheetViews>
  <sheetFormatPr baseColWidth="10" defaultRowHeight="15" x14ac:dyDescent="0.25"/>
  <cols>
    <col min="1" max="1" width="19.85546875" customWidth="1"/>
    <col min="2" max="2" width="22.28515625" style="7" customWidth="1"/>
    <col min="3" max="3" width="18.140625" style="7" customWidth="1"/>
    <col min="4" max="4" width="11.42578125" style="7"/>
    <col min="5" max="5" width="11.42578125" style="8"/>
    <col min="6" max="6" width="65.5703125" style="4" customWidth="1"/>
    <col min="7" max="7" width="22.42578125" style="6" customWidth="1"/>
    <col min="8" max="8" width="11.42578125" style="8"/>
  </cols>
  <sheetData>
    <row r="1" spans="1:8" ht="75.75" customHeight="1" thickBot="1" x14ac:dyDescent="0.3">
      <c r="A1" s="567" t="s">
        <v>669</v>
      </c>
      <c r="B1" s="567"/>
      <c r="C1" s="567"/>
      <c r="D1" s="567"/>
      <c r="E1" s="567"/>
      <c r="F1" s="567"/>
      <c r="G1" s="567"/>
      <c r="H1" s="567"/>
    </row>
    <row r="2" spans="1:8" ht="57.75" customHeight="1" thickTop="1" thickBot="1" x14ac:dyDescent="0.3">
      <c r="A2" s="365" t="s">
        <v>39</v>
      </c>
      <c r="B2" s="366" t="s">
        <v>368</v>
      </c>
      <c r="C2" s="366" t="s">
        <v>115</v>
      </c>
      <c r="D2" s="366" t="s">
        <v>339</v>
      </c>
      <c r="E2" s="366" t="s">
        <v>2</v>
      </c>
      <c r="F2" s="366" t="s">
        <v>119</v>
      </c>
      <c r="G2" s="367" t="s">
        <v>120</v>
      </c>
      <c r="H2" s="368" t="s">
        <v>592</v>
      </c>
    </row>
    <row r="3" spans="1:8" ht="98.25" thickTop="1" x14ac:dyDescent="0.3">
      <c r="A3" s="564" t="s">
        <v>1</v>
      </c>
      <c r="B3" s="371" t="s">
        <v>369</v>
      </c>
      <c r="C3" s="391" t="s">
        <v>60</v>
      </c>
      <c r="D3" s="371" t="s">
        <v>133</v>
      </c>
      <c r="E3" s="370">
        <v>101</v>
      </c>
      <c r="F3" s="369" t="s">
        <v>327</v>
      </c>
      <c r="G3" s="394">
        <v>8000000</v>
      </c>
      <c r="H3" s="395">
        <v>1</v>
      </c>
    </row>
    <row r="4" spans="1:8" ht="58.5" x14ac:dyDescent="0.3">
      <c r="A4" s="565"/>
      <c r="B4" s="376" t="s">
        <v>374</v>
      </c>
      <c r="C4" s="392" t="s">
        <v>60</v>
      </c>
      <c r="D4" s="376" t="s">
        <v>133</v>
      </c>
      <c r="E4" s="375">
        <v>185</v>
      </c>
      <c r="F4" s="374" t="s">
        <v>485</v>
      </c>
      <c r="G4" s="396">
        <v>6000000</v>
      </c>
      <c r="H4" s="397">
        <v>1</v>
      </c>
    </row>
    <row r="5" spans="1:8" ht="59.25" thickBot="1" x14ac:dyDescent="0.35">
      <c r="A5" s="566"/>
      <c r="B5" s="381" t="s">
        <v>423</v>
      </c>
      <c r="C5" s="393" t="s">
        <v>110</v>
      </c>
      <c r="D5" s="381" t="s">
        <v>295</v>
      </c>
      <c r="E5" s="380">
        <v>148</v>
      </c>
      <c r="F5" s="379" t="s">
        <v>356</v>
      </c>
      <c r="G5" s="398">
        <v>0</v>
      </c>
      <c r="H5" s="399">
        <v>1</v>
      </c>
    </row>
    <row r="6" spans="1:8" s="18" customFormat="1" ht="22.5" thickTop="1" thickBot="1" x14ac:dyDescent="0.4">
      <c r="A6" s="560" t="s">
        <v>431</v>
      </c>
      <c r="B6" s="561"/>
      <c r="C6" s="561"/>
      <c r="D6" s="561"/>
      <c r="E6" s="561"/>
      <c r="F6" s="562"/>
      <c r="G6" s="562"/>
      <c r="H6" s="563">
        <v>3</v>
      </c>
    </row>
    <row r="7" spans="1:8" ht="99" thickTop="1" thickBot="1" x14ac:dyDescent="0.35">
      <c r="A7" s="400" t="s">
        <v>0</v>
      </c>
      <c r="B7" s="400" t="s">
        <v>369</v>
      </c>
      <c r="C7" s="401" t="s">
        <v>60</v>
      </c>
      <c r="D7" s="400" t="s">
        <v>133</v>
      </c>
      <c r="E7" s="402">
        <v>155</v>
      </c>
      <c r="F7" s="403" t="s">
        <v>546</v>
      </c>
      <c r="G7" s="404">
        <v>15000000</v>
      </c>
      <c r="H7" s="405">
        <v>1</v>
      </c>
    </row>
    <row r="8" spans="1:8" s="18" customFormat="1" ht="22.5" thickTop="1" thickBot="1" x14ac:dyDescent="0.4">
      <c r="A8" s="560" t="s">
        <v>434</v>
      </c>
      <c r="B8" s="561"/>
      <c r="C8" s="561"/>
      <c r="D8" s="561"/>
      <c r="E8" s="561"/>
      <c r="F8" s="562"/>
      <c r="G8" s="562"/>
      <c r="H8" s="563">
        <v>1</v>
      </c>
    </row>
    <row r="9" spans="1:8" ht="118.5" thickTop="1" thickBot="1" x14ac:dyDescent="0.35">
      <c r="A9" s="400" t="s">
        <v>4</v>
      </c>
      <c r="B9" s="400" t="s">
        <v>370</v>
      </c>
      <c r="C9" s="401" t="s">
        <v>60</v>
      </c>
      <c r="D9" s="400" t="s">
        <v>291</v>
      </c>
      <c r="E9" s="402">
        <v>21</v>
      </c>
      <c r="F9" s="403" t="s">
        <v>311</v>
      </c>
      <c r="G9" s="404">
        <v>298100000</v>
      </c>
      <c r="H9" s="405">
        <v>1</v>
      </c>
    </row>
    <row r="10" spans="1:8" s="18" customFormat="1" ht="22.5" thickTop="1" thickBot="1" x14ac:dyDescent="0.4">
      <c r="A10" s="560" t="s">
        <v>435</v>
      </c>
      <c r="B10" s="561"/>
      <c r="C10" s="561"/>
      <c r="D10" s="561"/>
      <c r="E10" s="561"/>
      <c r="F10" s="562"/>
      <c r="G10" s="562"/>
      <c r="H10" s="563">
        <v>1</v>
      </c>
    </row>
    <row r="11" spans="1:8" ht="79.5" thickTop="1" thickBot="1" x14ac:dyDescent="0.35">
      <c r="A11" s="400" t="s">
        <v>3</v>
      </c>
      <c r="B11" s="400" t="s">
        <v>423</v>
      </c>
      <c r="C11" s="401" t="s">
        <v>70</v>
      </c>
      <c r="D11" s="400" t="s">
        <v>308</v>
      </c>
      <c r="E11" s="402">
        <v>139</v>
      </c>
      <c r="F11" s="403" t="s">
        <v>454</v>
      </c>
      <c r="G11" s="404">
        <v>0</v>
      </c>
      <c r="H11" s="405">
        <v>1</v>
      </c>
    </row>
    <row r="12" spans="1:8" s="18" customFormat="1" ht="22.5" thickTop="1" thickBot="1" x14ac:dyDescent="0.4">
      <c r="A12" s="560" t="s">
        <v>436</v>
      </c>
      <c r="B12" s="561"/>
      <c r="C12" s="561"/>
      <c r="D12" s="561"/>
      <c r="E12" s="561"/>
      <c r="F12" s="562"/>
      <c r="G12" s="562"/>
      <c r="H12" s="563">
        <v>1</v>
      </c>
    </row>
    <row r="13" spans="1:8" ht="157.5" thickTop="1" thickBot="1" x14ac:dyDescent="0.35">
      <c r="A13" s="400" t="s">
        <v>19</v>
      </c>
      <c r="B13" s="400" t="s">
        <v>374</v>
      </c>
      <c r="C13" s="401" t="s">
        <v>60</v>
      </c>
      <c r="D13" s="400" t="s">
        <v>291</v>
      </c>
      <c r="E13" s="402">
        <v>127</v>
      </c>
      <c r="F13" s="403" t="s">
        <v>662</v>
      </c>
      <c r="G13" s="404">
        <v>300000000</v>
      </c>
      <c r="H13" s="405">
        <v>1</v>
      </c>
    </row>
    <row r="14" spans="1:8" s="18" customFormat="1" ht="22.5" thickTop="1" thickBot="1" x14ac:dyDescent="0.4">
      <c r="A14" s="560" t="s">
        <v>437</v>
      </c>
      <c r="B14" s="561"/>
      <c r="C14" s="561"/>
      <c r="D14" s="561"/>
      <c r="E14" s="561"/>
      <c r="F14" s="562"/>
      <c r="G14" s="562"/>
      <c r="H14" s="563">
        <v>1</v>
      </c>
    </row>
    <row r="15" spans="1:8" ht="20.25" thickTop="1" x14ac:dyDescent="0.3">
      <c r="A15" s="384" t="s">
        <v>364</v>
      </c>
      <c r="B15" s="385"/>
      <c r="C15" s="385"/>
      <c r="D15" s="385"/>
      <c r="E15" s="385"/>
      <c r="F15" s="384"/>
      <c r="G15" s="406"/>
      <c r="H15" s="407">
        <v>7</v>
      </c>
    </row>
  </sheetData>
  <mergeCells count="12">
    <mergeCell ref="A12:E12"/>
    <mergeCell ref="F12:H12"/>
    <mergeCell ref="A14:E14"/>
    <mergeCell ref="F14:H14"/>
    <mergeCell ref="A1:H1"/>
    <mergeCell ref="A6:E6"/>
    <mergeCell ref="F6:H6"/>
    <mergeCell ref="A3:A5"/>
    <mergeCell ref="A8:E8"/>
    <mergeCell ref="F8:H8"/>
    <mergeCell ref="A10:E10"/>
    <mergeCell ref="F10:H10"/>
  </mergeCells>
  <pageMargins left="0.7" right="0.7" top="0.75" bottom="0.75" header="0.3" footer="0.3"/>
  <pageSetup scale="67"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9E2A9-1025-48AD-93D3-6D3544A86C7A}">
  <dimension ref="A1:H20"/>
  <sheetViews>
    <sheetView view="pageBreakPreview" zoomScale="70" zoomScaleNormal="100" zoomScaleSheetLayoutView="70" workbookViewId="0">
      <selection activeCell="F6" sqref="F6:H6"/>
    </sheetView>
  </sheetViews>
  <sheetFormatPr baseColWidth="10" defaultRowHeight="15" x14ac:dyDescent="0.25"/>
  <cols>
    <col min="1" max="1" width="45.28515625" style="7" customWidth="1"/>
    <col min="2" max="2" width="26" style="7" customWidth="1"/>
    <col min="3" max="3" width="27.42578125" style="7" customWidth="1"/>
    <col min="4" max="5" width="17.5703125" style="7" customWidth="1"/>
    <col min="6" max="6" width="150.28515625" style="7" customWidth="1"/>
    <col min="7" max="7" width="23.7109375" style="348" customWidth="1"/>
    <col min="8" max="8" width="11.42578125" style="7"/>
  </cols>
  <sheetData>
    <row r="1" spans="1:8" ht="60" customHeight="1" x14ac:dyDescent="0.25">
      <c r="A1" s="559" t="s">
        <v>670</v>
      </c>
      <c r="B1" s="559"/>
      <c r="C1" s="559"/>
      <c r="D1" s="559"/>
      <c r="E1" s="559"/>
      <c r="F1" s="559"/>
      <c r="G1" s="559"/>
      <c r="H1" s="559"/>
    </row>
    <row r="2" spans="1:8" ht="15.75" thickBot="1" x14ac:dyDescent="0.3"/>
    <row r="3" spans="1:8" ht="57.75" customHeight="1" thickTop="1" thickBot="1" x14ac:dyDescent="0.3">
      <c r="A3" s="365" t="s">
        <v>39</v>
      </c>
      <c r="B3" s="366" t="s">
        <v>368</v>
      </c>
      <c r="C3" s="366" t="s">
        <v>115</v>
      </c>
      <c r="D3" s="366" t="s">
        <v>339</v>
      </c>
      <c r="E3" s="366" t="s">
        <v>2</v>
      </c>
      <c r="F3" s="366" t="s">
        <v>119</v>
      </c>
      <c r="G3" s="367" t="s">
        <v>120</v>
      </c>
      <c r="H3" s="368" t="s">
        <v>671</v>
      </c>
    </row>
    <row r="4" spans="1:8" ht="59.25" thickTop="1" x14ac:dyDescent="0.25">
      <c r="A4" s="564" t="s">
        <v>1</v>
      </c>
      <c r="B4" s="371" t="s">
        <v>374</v>
      </c>
      <c r="C4" s="391" t="s">
        <v>60</v>
      </c>
      <c r="D4" s="371" t="s">
        <v>133</v>
      </c>
      <c r="E4" s="391">
        <v>252</v>
      </c>
      <c r="F4" s="371" t="s">
        <v>657</v>
      </c>
      <c r="G4" s="408">
        <v>32763230</v>
      </c>
      <c r="H4" s="409">
        <v>1</v>
      </c>
    </row>
    <row r="5" spans="1:8" ht="58.5" x14ac:dyDescent="0.25">
      <c r="A5" s="565"/>
      <c r="B5" s="376" t="s">
        <v>374</v>
      </c>
      <c r="C5" s="392" t="s">
        <v>113</v>
      </c>
      <c r="D5" s="376" t="s">
        <v>308</v>
      </c>
      <c r="E5" s="392">
        <v>253</v>
      </c>
      <c r="F5" s="376" t="s">
        <v>658</v>
      </c>
      <c r="G5" s="410">
        <v>41490572</v>
      </c>
      <c r="H5" s="411">
        <v>1</v>
      </c>
    </row>
    <row r="6" spans="1:8" ht="59.25" thickBot="1" x14ac:dyDescent="0.3">
      <c r="A6" s="566"/>
      <c r="B6" s="381" t="s">
        <v>370</v>
      </c>
      <c r="C6" s="393" t="s">
        <v>60</v>
      </c>
      <c r="D6" s="381" t="s">
        <v>133</v>
      </c>
      <c r="E6" s="393">
        <v>147</v>
      </c>
      <c r="F6" s="381" t="s">
        <v>656</v>
      </c>
      <c r="G6" s="412">
        <v>7000000</v>
      </c>
      <c r="H6" s="413">
        <v>1</v>
      </c>
    </row>
    <row r="7" spans="1:8" s="18" customFormat="1" ht="22.5" thickTop="1" thickBot="1" x14ac:dyDescent="0.4">
      <c r="A7" s="560" t="s">
        <v>431</v>
      </c>
      <c r="B7" s="561"/>
      <c r="C7" s="561"/>
      <c r="D7" s="561"/>
      <c r="E7" s="561"/>
      <c r="F7" s="562"/>
      <c r="G7" s="562"/>
      <c r="H7" s="563">
        <v>3</v>
      </c>
    </row>
    <row r="8" spans="1:8" ht="60" thickTop="1" thickBot="1" x14ac:dyDescent="0.3">
      <c r="A8" s="400" t="s">
        <v>0</v>
      </c>
      <c r="B8" s="400" t="s">
        <v>369</v>
      </c>
      <c r="C8" s="401" t="s">
        <v>60</v>
      </c>
      <c r="D8" s="400" t="s">
        <v>133</v>
      </c>
      <c r="E8" s="401">
        <v>157</v>
      </c>
      <c r="F8" s="400" t="s">
        <v>545</v>
      </c>
      <c r="G8" s="414">
        <v>13500000</v>
      </c>
      <c r="H8" s="415">
        <v>1</v>
      </c>
    </row>
    <row r="9" spans="1:8" s="18" customFormat="1" ht="22.5" thickTop="1" thickBot="1" x14ac:dyDescent="0.4">
      <c r="A9" s="560" t="s">
        <v>434</v>
      </c>
      <c r="B9" s="561"/>
      <c r="C9" s="561"/>
      <c r="D9" s="561"/>
      <c r="E9" s="561"/>
      <c r="F9" s="562"/>
      <c r="G9" s="562"/>
      <c r="H9" s="563">
        <v>1</v>
      </c>
    </row>
    <row r="10" spans="1:8" ht="39.75" thickTop="1" x14ac:dyDescent="0.25">
      <c r="A10" s="564" t="s">
        <v>3</v>
      </c>
      <c r="B10" s="371" t="s">
        <v>369</v>
      </c>
      <c r="C10" s="391" t="s">
        <v>60</v>
      </c>
      <c r="D10" s="371" t="s">
        <v>133</v>
      </c>
      <c r="E10" s="391">
        <v>138</v>
      </c>
      <c r="F10" s="371" t="s">
        <v>666</v>
      </c>
      <c r="G10" s="408">
        <v>3666667</v>
      </c>
      <c r="H10" s="409">
        <v>1</v>
      </c>
    </row>
    <row r="11" spans="1:8" ht="58.5" x14ac:dyDescent="0.25">
      <c r="A11" s="565"/>
      <c r="B11" s="376" t="s">
        <v>374</v>
      </c>
      <c r="C11" s="392" t="s">
        <v>60</v>
      </c>
      <c r="D11" s="376" t="s">
        <v>389</v>
      </c>
      <c r="E11" s="392">
        <v>144</v>
      </c>
      <c r="F11" s="376" t="s">
        <v>661</v>
      </c>
      <c r="G11" s="410">
        <v>11169866</v>
      </c>
      <c r="H11" s="411">
        <v>1</v>
      </c>
    </row>
    <row r="12" spans="1:8" ht="58.5" x14ac:dyDescent="0.25">
      <c r="A12" s="565"/>
      <c r="B12" s="376" t="s">
        <v>374</v>
      </c>
      <c r="C12" s="392" t="s">
        <v>60</v>
      </c>
      <c r="D12" s="376" t="s">
        <v>133</v>
      </c>
      <c r="E12" s="392">
        <v>251</v>
      </c>
      <c r="F12" s="376" t="s">
        <v>657</v>
      </c>
      <c r="G12" s="410">
        <v>2236770</v>
      </c>
      <c r="H12" s="411">
        <v>1</v>
      </c>
    </row>
    <row r="13" spans="1:8" ht="39" x14ac:dyDescent="0.25">
      <c r="A13" s="565"/>
      <c r="B13" s="376" t="s">
        <v>370</v>
      </c>
      <c r="C13" s="392" t="s">
        <v>60</v>
      </c>
      <c r="D13" s="376" t="s">
        <v>299</v>
      </c>
      <c r="E13" s="392">
        <v>13</v>
      </c>
      <c r="F13" s="376" t="s">
        <v>659</v>
      </c>
      <c r="G13" s="410">
        <v>300000000</v>
      </c>
      <c r="H13" s="411">
        <v>1</v>
      </c>
    </row>
    <row r="14" spans="1:8" ht="59.25" thickBot="1" x14ac:dyDescent="0.3">
      <c r="A14" s="566"/>
      <c r="B14" s="381" t="s">
        <v>370</v>
      </c>
      <c r="C14" s="393" t="s">
        <v>60</v>
      </c>
      <c r="D14" s="381" t="s">
        <v>133</v>
      </c>
      <c r="E14" s="393">
        <v>136</v>
      </c>
      <c r="F14" s="381" t="s">
        <v>651</v>
      </c>
      <c r="G14" s="412">
        <v>3083333</v>
      </c>
      <c r="H14" s="413">
        <v>1</v>
      </c>
    </row>
    <row r="15" spans="1:8" s="18" customFormat="1" ht="22.5" thickTop="1" thickBot="1" x14ac:dyDescent="0.4">
      <c r="A15" s="560" t="s">
        <v>436</v>
      </c>
      <c r="B15" s="561"/>
      <c r="C15" s="561"/>
      <c r="D15" s="561"/>
      <c r="E15" s="561"/>
      <c r="F15" s="562"/>
      <c r="G15" s="562"/>
      <c r="H15" s="563">
        <v>5</v>
      </c>
    </row>
    <row r="16" spans="1:8" ht="39.75" thickTop="1" x14ac:dyDescent="0.25">
      <c r="A16" s="564" t="s">
        <v>19</v>
      </c>
      <c r="B16" s="371" t="s">
        <v>369</v>
      </c>
      <c r="C16" s="391" t="s">
        <v>60</v>
      </c>
      <c r="D16" s="371" t="s">
        <v>133</v>
      </c>
      <c r="E16" s="391">
        <v>9</v>
      </c>
      <c r="F16" s="371" t="s">
        <v>647</v>
      </c>
      <c r="G16" s="408">
        <v>4721600</v>
      </c>
      <c r="H16" s="409">
        <v>1</v>
      </c>
    </row>
    <row r="17" spans="1:8" ht="39" x14ac:dyDescent="0.25">
      <c r="A17" s="565"/>
      <c r="B17" s="376" t="s">
        <v>369</v>
      </c>
      <c r="C17" s="392" t="s">
        <v>60</v>
      </c>
      <c r="D17" s="376"/>
      <c r="E17" s="392">
        <v>10</v>
      </c>
      <c r="F17" s="376" t="s">
        <v>649</v>
      </c>
      <c r="G17" s="410">
        <v>4721600</v>
      </c>
      <c r="H17" s="411">
        <v>1</v>
      </c>
    </row>
    <row r="18" spans="1:8" ht="59.25" thickBot="1" x14ac:dyDescent="0.3">
      <c r="A18" s="566"/>
      <c r="B18" s="381" t="s">
        <v>374</v>
      </c>
      <c r="C18" s="393" t="s">
        <v>60</v>
      </c>
      <c r="D18" s="381" t="s">
        <v>389</v>
      </c>
      <c r="E18" s="393">
        <v>144</v>
      </c>
      <c r="F18" s="381" t="s">
        <v>661</v>
      </c>
      <c r="G18" s="412">
        <v>21830134</v>
      </c>
      <c r="H18" s="413">
        <v>1</v>
      </c>
    </row>
    <row r="19" spans="1:8" s="18" customFormat="1" ht="22.5" thickTop="1" thickBot="1" x14ac:dyDescent="0.4">
      <c r="A19" s="560" t="s">
        <v>437</v>
      </c>
      <c r="B19" s="561"/>
      <c r="C19" s="561"/>
      <c r="D19" s="561"/>
      <c r="E19" s="561"/>
      <c r="F19" s="562"/>
      <c r="G19" s="562"/>
      <c r="H19" s="563">
        <v>3</v>
      </c>
    </row>
    <row r="20" spans="1:8" ht="20.25" thickTop="1" x14ac:dyDescent="0.25">
      <c r="A20" s="385" t="s">
        <v>364</v>
      </c>
      <c r="B20" s="385"/>
      <c r="C20" s="385"/>
      <c r="D20" s="385"/>
      <c r="E20" s="385"/>
      <c r="F20" s="385"/>
      <c r="G20" s="406"/>
      <c r="H20" s="416">
        <v>12</v>
      </c>
    </row>
  </sheetData>
  <mergeCells count="12">
    <mergeCell ref="A1:H1"/>
    <mergeCell ref="A7:E7"/>
    <mergeCell ref="F7:H7"/>
    <mergeCell ref="A9:E9"/>
    <mergeCell ref="F9:H9"/>
    <mergeCell ref="A19:E19"/>
    <mergeCell ref="F19:H19"/>
    <mergeCell ref="A4:A6"/>
    <mergeCell ref="A10:A14"/>
    <mergeCell ref="A16:A18"/>
    <mergeCell ref="A15:E15"/>
    <mergeCell ref="F15:H15"/>
  </mergeCells>
  <printOptions horizontalCentered="1" verticalCentered="1"/>
  <pageMargins left="0.70866141732283472" right="0.70866141732283472" top="0.74803149606299213" bottom="0.74803149606299213" header="0.31496062992125984" footer="0.31496062992125984"/>
  <pageSetup scale="29"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14"/>
  <sheetViews>
    <sheetView showGridLines="0" tabSelected="1" view="pageBreakPreview" zoomScale="40" zoomScaleNormal="45" zoomScaleSheetLayoutView="40" workbookViewId="0">
      <pane ySplit="9" topLeftCell="A10" activePane="bottomLeft" state="frozen"/>
      <selection activeCell="C1" sqref="C1"/>
      <selection pane="bottomLeft" activeCell="A9" sqref="A9:XFD9"/>
    </sheetView>
  </sheetViews>
  <sheetFormatPr baseColWidth="10" defaultColWidth="11.42578125" defaultRowHeight="28.5" x14ac:dyDescent="0.45"/>
  <cols>
    <col min="1" max="1" width="21.28515625" style="41" customWidth="1"/>
    <col min="2" max="2" width="37.85546875" style="41" customWidth="1"/>
    <col min="3" max="3" width="86.140625" style="42" customWidth="1"/>
    <col min="4" max="4" width="185.7109375" style="43" customWidth="1"/>
    <col min="5" max="5" width="36.28515625" style="49" customWidth="1"/>
    <col min="6" max="6" width="52.5703125" style="45" customWidth="1"/>
    <col min="7" max="7" width="19.5703125" style="46" customWidth="1"/>
    <col min="8" max="8" width="30" style="47" customWidth="1"/>
    <col min="9" max="9" width="39.85546875" style="47" customWidth="1"/>
    <col min="10" max="10" width="25.85546875" style="45" customWidth="1"/>
    <col min="11" max="11" width="35" style="48" customWidth="1"/>
    <col min="12" max="12" width="25.85546875" style="49" customWidth="1"/>
    <col min="13" max="13" width="35.85546875" style="49" customWidth="1"/>
    <col min="14" max="14" width="155" style="47" customWidth="1"/>
    <col min="15" max="15" width="31" style="50" customWidth="1"/>
    <col min="16" max="16" width="43.5703125" style="50" customWidth="1"/>
    <col min="17" max="17" width="31.7109375" style="241" customWidth="1"/>
    <col min="18" max="18" width="20" style="70" customWidth="1"/>
    <col min="19" max="19" width="13.28515625" style="70" customWidth="1"/>
    <col min="20" max="20" width="17.5703125" style="70" customWidth="1"/>
    <col min="21" max="21" width="24" style="71" customWidth="1"/>
    <col min="22" max="16384" width="11.42578125" style="70"/>
  </cols>
  <sheetData>
    <row r="1" spans="1:21" s="36" customFormat="1" ht="36" customHeight="1" x14ac:dyDescent="0.25">
      <c r="A1" s="503"/>
      <c r="B1" s="506" t="s">
        <v>405</v>
      </c>
      <c r="C1" s="507"/>
      <c r="D1" s="507"/>
      <c r="E1" s="507"/>
      <c r="F1" s="507"/>
      <c r="G1" s="507"/>
      <c r="H1" s="507"/>
      <c r="I1" s="507"/>
      <c r="J1" s="508"/>
      <c r="K1" s="494" t="s">
        <v>406</v>
      </c>
      <c r="L1" s="495"/>
      <c r="M1" s="496"/>
    </row>
    <row r="2" spans="1:21" s="36" customFormat="1" ht="27" customHeight="1" x14ac:dyDescent="0.25">
      <c r="A2" s="504"/>
      <c r="B2" s="509" t="s">
        <v>407</v>
      </c>
      <c r="C2" s="510"/>
      <c r="D2" s="510"/>
      <c r="E2" s="510"/>
      <c r="F2" s="510"/>
      <c r="G2" s="510"/>
      <c r="H2" s="510"/>
      <c r="I2" s="510"/>
      <c r="J2" s="511"/>
      <c r="K2" s="486">
        <v>2</v>
      </c>
      <c r="L2" s="487"/>
      <c r="M2" s="488"/>
    </row>
    <row r="3" spans="1:21" s="36" customFormat="1" ht="27" customHeight="1" x14ac:dyDescent="0.25">
      <c r="A3" s="504"/>
      <c r="B3" s="506" t="s">
        <v>408</v>
      </c>
      <c r="C3" s="507"/>
      <c r="D3" s="507"/>
      <c r="E3" s="507"/>
      <c r="F3" s="507"/>
      <c r="G3" s="507"/>
      <c r="H3" s="507"/>
      <c r="I3" s="507"/>
      <c r="J3" s="508"/>
      <c r="K3" s="494" t="s">
        <v>409</v>
      </c>
      <c r="L3" s="495"/>
      <c r="M3" s="496"/>
    </row>
    <row r="4" spans="1:21" s="36" customFormat="1" ht="28.5" customHeight="1" x14ac:dyDescent="0.25">
      <c r="A4" s="504"/>
      <c r="B4" s="509" t="s">
        <v>410</v>
      </c>
      <c r="C4" s="510"/>
      <c r="D4" s="510"/>
      <c r="E4" s="510"/>
      <c r="F4" s="510"/>
      <c r="G4" s="510"/>
      <c r="H4" s="510"/>
      <c r="I4" s="510"/>
      <c r="J4" s="511"/>
      <c r="K4" s="497">
        <v>43035</v>
      </c>
      <c r="L4" s="498"/>
      <c r="M4" s="499"/>
    </row>
    <row r="5" spans="1:21" s="36" customFormat="1" ht="36.75" customHeight="1" x14ac:dyDescent="0.25">
      <c r="A5" s="504"/>
      <c r="B5" s="506" t="s">
        <v>411</v>
      </c>
      <c r="C5" s="507"/>
      <c r="D5" s="507"/>
      <c r="E5" s="507"/>
      <c r="F5" s="507"/>
      <c r="G5" s="507"/>
      <c r="H5" s="512" t="s">
        <v>412</v>
      </c>
      <c r="I5" s="513"/>
      <c r="J5" s="514"/>
      <c r="K5" s="500" t="s">
        <v>413</v>
      </c>
      <c r="L5" s="501"/>
      <c r="M5" s="502"/>
    </row>
    <row r="6" spans="1:21" s="36" customFormat="1" ht="28.5" customHeight="1" x14ac:dyDescent="0.25">
      <c r="A6" s="505"/>
      <c r="B6" s="509" t="s">
        <v>414</v>
      </c>
      <c r="C6" s="510"/>
      <c r="D6" s="510"/>
      <c r="E6" s="510"/>
      <c r="F6" s="510"/>
      <c r="G6" s="510"/>
      <c r="H6" s="509" t="s">
        <v>415</v>
      </c>
      <c r="I6" s="510"/>
      <c r="J6" s="511"/>
      <c r="K6" s="500"/>
      <c r="L6" s="501"/>
      <c r="M6" s="502"/>
    </row>
    <row r="7" spans="1:21" s="40" customFormat="1" ht="47.25" customHeight="1" x14ac:dyDescent="0.25">
      <c r="A7" s="491" t="s">
        <v>417</v>
      </c>
      <c r="B7" s="492"/>
      <c r="C7" s="492"/>
      <c r="D7" s="492"/>
      <c r="E7" s="492"/>
      <c r="F7" s="37" t="s">
        <v>418</v>
      </c>
      <c r="G7" s="38"/>
      <c r="H7" s="39">
        <v>2017</v>
      </c>
      <c r="I7" s="492" t="s">
        <v>705</v>
      </c>
      <c r="J7" s="492"/>
      <c r="K7" s="492"/>
      <c r="L7" s="492"/>
      <c r="M7" s="493"/>
    </row>
    <row r="8" spans="1:21" s="51" customFormat="1" ht="29.25" thickBot="1" x14ac:dyDescent="0.5">
      <c r="A8" s="41"/>
      <c r="B8" s="41"/>
      <c r="C8" s="42"/>
      <c r="D8" s="43"/>
      <c r="E8" s="44">
        <f>SUBTOTAL(9,E10:E392)</f>
        <v>37984653081</v>
      </c>
      <c r="F8" s="363"/>
      <c r="G8" s="46"/>
      <c r="H8" s="47"/>
      <c r="I8" s="364"/>
      <c r="J8" s="45"/>
      <c r="K8" s="48"/>
      <c r="L8" s="49"/>
      <c r="M8" s="49"/>
      <c r="N8" s="47"/>
      <c r="O8" s="50"/>
      <c r="P8" s="50"/>
      <c r="Q8" s="50"/>
      <c r="U8" s="49"/>
    </row>
    <row r="9" spans="1:21" s="58" customFormat="1" ht="144" thickTop="1" thickBot="1" x14ac:dyDescent="0.5">
      <c r="A9" s="52" t="s">
        <v>2</v>
      </c>
      <c r="B9" s="53" t="s">
        <v>39</v>
      </c>
      <c r="C9" s="53" t="s">
        <v>118</v>
      </c>
      <c r="D9" s="53" t="s">
        <v>119</v>
      </c>
      <c r="E9" s="53" t="s">
        <v>120</v>
      </c>
      <c r="F9" s="53" t="s">
        <v>121</v>
      </c>
      <c r="G9" s="53" t="s">
        <v>122</v>
      </c>
      <c r="H9" s="53" t="s">
        <v>115</v>
      </c>
      <c r="I9" s="53" t="s">
        <v>339</v>
      </c>
      <c r="J9" s="53" t="s">
        <v>123</v>
      </c>
      <c r="K9" s="53" t="s">
        <v>416</v>
      </c>
      <c r="L9" s="53" t="s">
        <v>127</v>
      </c>
      <c r="M9" s="54" t="s">
        <v>38</v>
      </c>
      <c r="N9" s="55" t="s">
        <v>128</v>
      </c>
      <c r="O9" s="56" t="s">
        <v>129</v>
      </c>
      <c r="P9" s="57" t="s">
        <v>130</v>
      </c>
      <c r="Q9" s="57" t="s">
        <v>419</v>
      </c>
      <c r="R9" s="57" t="s">
        <v>254</v>
      </c>
      <c r="S9" s="57" t="s">
        <v>366</v>
      </c>
      <c r="T9" s="57" t="s">
        <v>367</v>
      </c>
      <c r="U9" s="57" t="s">
        <v>368</v>
      </c>
    </row>
    <row r="10" spans="1:21" ht="86.25" thickTop="1" x14ac:dyDescent="0.45">
      <c r="A10" s="59">
        <v>1</v>
      </c>
      <c r="B10" s="60" t="s">
        <v>19</v>
      </c>
      <c r="C10" s="61" t="s">
        <v>287</v>
      </c>
      <c r="D10" s="62" t="s">
        <v>99</v>
      </c>
      <c r="E10" s="63">
        <f>8000000*6-16246667</f>
        <v>31753333</v>
      </c>
      <c r="F10" s="60" t="s">
        <v>19</v>
      </c>
      <c r="G10" s="64" t="s">
        <v>6</v>
      </c>
      <c r="H10" s="60" t="s">
        <v>60</v>
      </c>
      <c r="I10" s="60" t="s">
        <v>133</v>
      </c>
      <c r="J10" s="60">
        <v>6</v>
      </c>
      <c r="K10" s="65">
        <v>42781</v>
      </c>
      <c r="L10" s="66">
        <v>42809</v>
      </c>
      <c r="M10" s="67" t="s">
        <v>42</v>
      </c>
      <c r="N10" s="456" t="s">
        <v>591</v>
      </c>
      <c r="O10" s="455">
        <v>31753333</v>
      </c>
      <c r="P10" s="68">
        <f>E10-O10</f>
        <v>0</v>
      </c>
      <c r="Q10" s="247"/>
      <c r="R10" s="70">
        <v>15</v>
      </c>
      <c r="S10" s="70">
        <v>2</v>
      </c>
      <c r="T10" s="70">
        <v>2017</v>
      </c>
      <c r="U10" s="276" t="s">
        <v>369</v>
      </c>
    </row>
    <row r="11" spans="1:21" ht="85.5" x14ac:dyDescent="0.45">
      <c r="A11" s="72">
        <v>2</v>
      </c>
      <c r="B11" s="73" t="s">
        <v>19</v>
      </c>
      <c r="C11" s="74" t="s">
        <v>31</v>
      </c>
      <c r="D11" s="75" t="s">
        <v>47</v>
      </c>
      <c r="E11" s="76">
        <v>0</v>
      </c>
      <c r="F11" s="73" t="s">
        <v>19</v>
      </c>
      <c r="G11" s="77" t="s">
        <v>73</v>
      </c>
      <c r="H11" s="73" t="s">
        <v>73</v>
      </c>
      <c r="I11" s="73" t="s">
        <v>73</v>
      </c>
      <c r="J11" s="73" t="s">
        <v>73</v>
      </c>
      <c r="K11" s="78"/>
      <c r="L11" s="79"/>
      <c r="M11" s="80" t="s">
        <v>42</v>
      </c>
      <c r="N11" s="140" t="s">
        <v>521</v>
      </c>
      <c r="O11" s="82"/>
      <c r="P11" s="83">
        <f t="shared" ref="P11:P194" si="0">E11-O11</f>
        <v>0</v>
      </c>
      <c r="Q11" s="247"/>
      <c r="U11" s="71" t="s">
        <v>423</v>
      </c>
    </row>
    <row r="12" spans="1:21" s="87" customFormat="1" ht="85.5" x14ac:dyDescent="0.45">
      <c r="A12" s="72">
        <v>3</v>
      </c>
      <c r="B12" s="73" t="s">
        <v>19</v>
      </c>
      <c r="C12" s="74" t="s">
        <v>287</v>
      </c>
      <c r="D12" s="75" t="s">
        <v>48</v>
      </c>
      <c r="E12" s="76">
        <v>0</v>
      </c>
      <c r="F12" s="73" t="s">
        <v>19</v>
      </c>
      <c r="G12" s="77" t="s">
        <v>73</v>
      </c>
      <c r="H12" s="73" t="s">
        <v>73</v>
      </c>
      <c r="I12" s="73" t="s">
        <v>73</v>
      </c>
      <c r="J12" s="73" t="s">
        <v>73</v>
      </c>
      <c r="K12" s="78"/>
      <c r="L12" s="79"/>
      <c r="M12" s="80" t="s">
        <v>42</v>
      </c>
      <c r="N12" s="81" t="s">
        <v>350</v>
      </c>
      <c r="O12" s="84"/>
      <c r="P12" s="85">
        <f t="shared" si="0"/>
        <v>0</v>
      </c>
      <c r="Q12" s="201"/>
      <c r="U12" s="88" t="s">
        <v>423</v>
      </c>
    </row>
    <row r="13" spans="1:21" s="87" customFormat="1" ht="85.5" x14ac:dyDescent="0.45">
      <c r="A13" s="72">
        <v>4</v>
      </c>
      <c r="B13" s="73" t="s">
        <v>19</v>
      </c>
      <c r="C13" s="74" t="s">
        <v>287</v>
      </c>
      <c r="D13" s="75" t="s">
        <v>124</v>
      </c>
      <c r="E13" s="76">
        <v>44000000</v>
      </c>
      <c r="F13" s="73" t="s">
        <v>19</v>
      </c>
      <c r="G13" s="77" t="s">
        <v>6</v>
      </c>
      <c r="H13" s="73" t="s">
        <v>60</v>
      </c>
      <c r="I13" s="73" t="s">
        <v>133</v>
      </c>
      <c r="J13" s="89">
        <v>11</v>
      </c>
      <c r="K13" s="78">
        <v>42751</v>
      </c>
      <c r="L13" s="79">
        <v>42779</v>
      </c>
      <c r="M13" s="80" t="s">
        <v>42</v>
      </c>
      <c r="N13" s="90" t="s">
        <v>146</v>
      </c>
      <c r="O13" s="91">
        <v>44000000</v>
      </c>
      <c r="P13" s="85">
        <f t="shared" si="0"/>
        <v>0</v>
      </c>
      <c r="Q13" s="201"/>
      <c r="R13" s="87">
        <v>16</v>
      </c>
      <c r="S13" s="87">
        <v>1</v>
      </c>
      <c r="T13" s="87">
        <v>2017</v>
      </c>
      <c r="U13" s="277" t="s">
        <v>369</v>
      </c>
    </row>
    <row r="14" spans="1:21" s="87" customFormat="1" ht="85.5" x14ac:dyDescent="0.45">
      <c r="A14" s="72">
        <v>5</v>
      </c>
      <c r="B14" s="73" t="s">
        <v>19</v>
      </c>
      <c r="C14" s="74" t="s">
        <v>288</v>
      </c>
      <c r="D14" s="75" t="s">
        <v>160</v>
      </c>
      <c r="E14" s="76">
        <v>0</v>
      </c>
      <c r="F14" s="73" t="s">
        <v>19</v>
      </c>
      <c r="G14" s="77" t="s">
        <v>73</v>
      </c>
      <c r="H14" s="73" t="s">
        <v>73</v>
      </c>
      <c r="I14" s="73" t="s">
        <v>73</v>
      </c>
      <c r="J14" s="73" t="s">
        <v>73</v>
      </c>
      <c r="K14" s="78"/>
      <c r="L14" s="79"/>
      <c r="M14" s="80" t="s">
        <v>42</v>
      </c>
      <c r="N14" s="81" t="s">
        <v>350</v>
      </c>
      <c r="O14" s="84"/>
      <c r="P14" s="85">
        <f t="shared" si="0"/>
        <v>0</v>
      </c>
      <c r="Q14" s="201"/>
      <c r="U14" s="88" t="s">
        <v>423</v>
      </c>
    </row>
    <row r="15" spans="1:21" s="87" customFormat="1" ht="85.5" x14ac:dyDescent="0.45">
      <c r="A15" s="72">
        <v>6</v>
      </c>
      <c r="B15" s="73" t="s">
        <v>19</v>
      </c>
      <c r="C15" s="74" t="s">
        <v>288</v>
      </c>
      <c r="D15" s="75" t="s">
        <v>101</v>
      </c>
      <c r="E15" s="76">
        <f>5500000*3</f>
        <v>16500000</v>
      </c>
      <c r="F15" s="73" t="s">
        <v>19</v>
      </c>
      <c r="G15" s="77" t="s">
        <v>6</v>
      </c>
      <c r="H15" s="73" t="s">
        <v>60</v>
      </c>
      <c r="I15" s="73" t="s">
        <v>133</v>
      </c>
      <c r="J15" s="89">
        <v>3</v>
      </c>
      <c r="K15" s="78">
        <v>42767</v>
      </c>
      <c r="L15" s="79">
        <v>42779</v>
      </c>
      <c r="M15" s="80" t="s">
        <v>42</v>
      </c>
      <c r="N15" s="90" t="s">
        <v>147</v>
      </c>
      <c r="O15" s="91">
        <v>16500000</v>
      </c>
      <c r="P15" s="85">
        <f t="shared" si="0"/>
        <v>0</v>
      </c>
      <c r="Q15" s="201"/>
      <c r="R15" s="87">
        <v>1</v>
      </c>
      <c r="S15" s="87">
        <v>2</v>
      </c>
      <c r="T15" s="87">
        <v>2017</v>
      </c>
      <c r="U15" s="276" t="s">
        <v>369</v>
      </c>
    </row>
    <row r="16" spans="1:21" s="87" customFormat="1" ht="85.5" x14ac:dyDescent="0.45">
      <c r="A16" s="72">
        <v>7</v>
      </c>
      <c r="B16" s="73" t="s">
        <v>19</v>
      </c>
      <c r="C16" s="74" t="s">
        <v>287</v>
      </c>
      <c r="D16" s="75" t="s">
        <v>131</v>
      </c>
      <c r="E16" s="76">
        <v>30000000</v>
      </c>
      <c r="F16" s="73" t="s">
        <v>19</v>
      </c>
      <c r="G16" s="77" t="s">
        <v>6</v>
      </c>
      <c r="H16" s="73" t="s">
        <v>60</v>
      </c>
      <c r="I16" s="73" t="s">
        <v>133</v>
      </c>
      <c r="J16" s="89">
        <v>6</v>
      </c>
      <c r="K16" s="78">
        <v>42772</v>
      </c>
      <c r="L16" s="79">
        <v>42779</v>
      </c>
      <c r="M16" s="80" t="s">
        <v>42</v>
      </c>
      <c r="N16" s="90" t="s">
        <v>148</v>
      </c>
      <c r="O16" s="91">
        <v>30000000</v>
      </c>
      <c r="P16" s="85">
        <f t="shared" si="0"/>
        <v>0</v>
      </c>
      <c r="Q16" s="201"/>
      <c r="R16" s="87">
        <v>6</v>
      </c>
      <c r="S16" s="87">
        <v>2</v>
      </c>
      <c r="T16" s="87">
        <v>2017</v>
      </c>
      <c r="U16" s="276" t="s">
        <v>369</v>
      </c>
    </row>
    <row r="17" spans="1:21" s="87" customFormat="1" ht="85.5" x14ac:dyDescent="0.45">
      <c r="A17" s="72">
        <v>8</v>
      </c>
      <c r="B17" s="73" t="s">
        <v>19</v>
      </c>
      <c r="C17" s="74" t="s">
        <v>288</v>
      </c>
      <c r="D17" s="75" t="s">
        <v>132</v>
      </c>
      <c r="E17" s="76">
        <v>48000000</v>
      </c>
      <c r="F17" s="73" t="s">
        <v>19</v>
      </c>
      <c r="G17" s="77" t="s">
        <v>6</v>
      </c>
      <c r="H17" s="73" t="s">
        <v>60</v>
      </c>
      <c r="I17" s="73" t="s">
        <v>133</v>
      </c>
      <c r="J17" s="89">
        <v>8</v>
      </c>
      <c r="K17" s="78">
        <v>42772</v>
      </c>
      <c r="L17" s="79">
        <v>42779</v>
      </c>
      <c r="M17" s="80" t="s">
        <v>42</v>
      </c>
      <c r="N17" s="90" t="s">
        <v>149</v>
      </c>
      <c r="O17" s="91">
        <v>48000000</v>
      </c>
      <c r="P17" s="85">
        <f t="shared" si="0"/>
        <v>0</v>
      </c>
      <c r="Q17" s="201"/>
      <c r="R17" s="87">
        <v>6</v>
      </c>
      <c r="S17" s="87">
        <v>2</v>
      </c>
      <c r="T17" s="87">
        <v>2017</v>
      </c>
      <c r="U17" s="276" t="s">
        <v>369</v>
      </c>
    </row>
    <row r="18" spans="1:21" s="87" customFormat="1" ht="126.75" customHeight="1" x14ac:dyDescent="0.45">
      <c r="A18" s="72">
        <v>9</v>
      </c>
      <c r="B18" s="73" t="s">
        <v>19</v>
      </c>
      <c r="C18" s="74" t="s">
        <v>287</v>
      </c>
      <c r="D18" s="75" t="s">
        <v>161</v>
      </c>
      <c r="E18" s="76">
        <v>23608000</v>
      </c>
      <c r="F18" s="73" t="s">
        <v>19</v>
      </c>
      <c r="G18" s="77" t="s">
        <v>6</v>
      </c>
      <c r="H18" s="73" t="s">
        <v>60</v>
      </c>
      <c r="I18" s="73" t="s">
        <v>133</v>
      </c>
      <c r="J18" s="89">
        <v>6</v>
      </c>
      <c r="K18" s="78">
        <v>42835</v>
      </c>
      <c r="L18" s="79">
        <v>42842</v>
      </c>
      <c r="M18" s="80" t="s">
        <v>42</v>
      </c>
      <c r="N18" s="90" t="s">
        <v>580</v>
      </c>
      <c r="O18" s="91">
        <v>23608000</v>
      </c>
      <c r="P18" s="85">
        <f t="shared" si="0"/>
        <v>0</v>
      </c>
      <c r="Q18" s="201"/>
      <c r="R18" s="87">
        <v>10</v>
      </c>
      <c r="S18" s="87">
        <v>4</v>
      </c>
      <c r="T18" s="87">
        <v>2017</v>
      </c>
      <c r="U18" s="277" t="s">
        <v>369</v>
      </c>
    </row>
    <row r="19" spans="1:21" s="87" customFormat="1" ht="126.75" customHeight="1" x14ac:dyDescent="0.45">
      <c r="A19" s="72">
        <v>9</v>
      </c>
      <c r="B19" s="73" t="s">
        <v>19</v>
      </c>
      <c r="C19" s="74" t="s">
        <v>287</v>
      </c>
      <c r="D19" s="75" t="s">
        <v>647</v>
      </c>
      <c r="E19" s="76">
        <v>4721600</v>
      </c>
      <c r="F19" s="73" t="s">
        <v>19</v>
      </c>
      <c r="G19" s="77" t="s">
        <v>6</v>
      </c>
      <c r="H19" s="73" t="s">
        <v>60</v>
      </c>
      <c r="I19" s="73" t="s">
        <v>133</v>
      </c>
      <c r="J19" s="89" t="s">
        <v>648</v>
      </c>
      <c r="K19" s="78">
        <v>43050</v>
      </c>
      <c r="L19" s="79">
        <v>43052</v>
      </c>
      <c r="M19" s="80" t="s">
        <v>42</v>
      </c>
      <c r="N19" s="90" t="s">
        <v>665</v>
      </c>
      <c r="O19" s="91">
        <v>4721600</v>
      </c>
      <c r="P19" s="85">
        <f t="shared" si="0"/>
        <v>0</v>
      </c>
      <c r="Q19" s="201"/>
      <c r="R19" s="87">
        <v>11</v>
      </c>
      <c r="S19" s="87">
        <v>11</v>
      </c>
      <c r="T19" s="87">
        <v>2017</v>
      </c>
      <c r="U19" s="277" t="s">
        <v>369</v>
      </c>
    </row>
    <row r="20" spans="1:21" s="87" customFormat="1" ht="119.25" customHeight="1" x14ac:dyDescent="0.45">
      <c r="A20" s="72">
        <v>10</v>
      </c>
      <c r="B20" s="73" t="s">
        <v>19</v>
      </c>
      <c r="C20" s="74" t="s">
        <v>287</v>
      </c>
      <c r="D20" s="75" t="s">
        <v>161</v>
      </c>
      <c r="E20" s="76">
        <v>23608000</v>
      </c>
      <c r="F20" s="73" t="s">
        <v>19</v>
      </c>
      <c r="G20" s="77" t="s">
        <v>6</v>
      </c>
      <c r="H20" s="73" t="s">
        <v>60</v>
      </c>
      <c r="I20" s="73" t="s">
        <v>133</v>
      </c>
      <c r="J20" s="89">
        <v>6</v>
      </c>
      <c r="K20" s="78">
        <v>42835</v>
      </c>
      <c r="L20" s="79">
        <v>42842</v>
      </c>
      <c r="M20" s="80" t="s">
        <v>42</v>
      </c>
      <c r="N20" s="90" t="s">
        <v>664</v>
      </c>
      <c r="O20" s="91">
        <v>23608000</v>
      </c>
      <c r="P20" s="85">
        <f t="shared" si="0"/>
        <v>0</v>
      </c>
      <c r="Q20" s="201"/>
      <c r="R20" s="87">
        <v>10</v>
      </c>
      <c r="S20" s="87">
        <v>4</v>
      </c>
      <c r="T20" s="87">
        <v>2017</v>
      </c>
      <c r="U20" s="277" t="s">
        <v>369</v>
      </c>
    </row>
    <row r="21" spans="1:21" s="87" customFormat="1" ht="119.25" customHeight="1" x14ac:dyDescent="0.45">
      <c r="A21" s="72">
        <v>10</v>
      </c>
      <c r="B21" s="73" t="s">
        <v>19</v>
      </c>
      <c r="C21" s="74" t="s">
        <v>287</v>
      </c>
      <c r="D21" s="75" t="s">
        <v>649</v>
      </c>
      <c r="E21" s="76">
        <v>4721600</v>
      </c>
      <c r="F21" s="73" t="s">
        <v>19</v>
      </c>
      <c r="G21" s="77" t="s">
        <v>6</v>
      </c>
      <c r="H21" s="73" t="s">
        <v>60</v>
      </c>
      <c r="I21" s="73" t="s">
        <v>133</v>
      </c>
      <c r="J21" s="89" t="s">
        <v>648</v>
      </c>
      <c r="K21" s="78">
        <v>43050</v>
      </c>
      <c r="L21" s="79">
        <v>43052</v>
      </c>
      <c r="M21" s="80" t="s">
        <v>42</v>
      </c>
      <c r="N21" s="90" t="s">
        <v>663</v>
      </c>
      <c r="O21" s="91">
        <v>4721600</v>
      </c>
      <c r="P21" s="85">
        <f>E21-O21</f>
        <v>0</v>
      </c>
      <c r="Q21" s="201"/>
      <c r="R21" s="87">
        <v>11</v>
      </c>
      <c r="S21" s="87">
        <v>11</v>
      </c>
      <c r="T21" s="87">
        <v>2017</v>
      </c>
      <c r="U21" s="277" t="s">
        <v>369</v>
      </c>
    </row>
    <row r="22" spans="1:21" s="87" customFormat="1" ht="85.5" x14ac:dyDescent="0.45">
      <c r="A22" s="72">
        <v>11</v>
      </c>
      <c r="B22" s="73" t="s">
        <v>19</v>
      </c>
      <c r="C22" s="74" t="s">
        <v>287</v>
      </c>
      <c r="D22" s="75" t="s">
        <v>100</v>
      </c>
      <c r="E22" s="76">
        <v>48000000</v>
      </c>
      <c r="F22" s="73" t="s">
        <v>19</v>
      </c>
      <c r="G22" s="77" t="s">
        <v>6</v>
      </c>
      <c r="H22" s="73" t="s">
        <v>60</v>
      </c>
      <c r="I22" s="73" t="s">
        <v>133</v>
      </c>
      <c r="J22" s="89">
        <v>9</v>
      </c>
      <c r="K22" s="78">
        <v>42767</v>
      </c>
      <c r="L22" s="79">
        <v>42779</v>
      </c>
      <c r="M22" s="80" t="s">
        <v>42</v>
      </c>
      <c r="N22" s="90" t="s">
        <v>201</v>
      </c>
      <c r="O22" s="91">
        <v>48000000</v>
      </c>
      <c r="P22" s="85">
        <f t="shared" si="0"/>
        <v>0</v>
      </c>
      <c r="Q22" s="201"/>
      <c r="R22" s="87">
        <v>1</v>
      </c>
      <c r="S22" s="87">
        <v>2</v>
      </c>
      <c r="T22" s="87">
        <v>2017</v>
      </c>
      <c r="U22" s="276" t="s">
        <v>369</v>
      </c>
    </row>
    <row r="23" spans="1:21" s="87" customFormat="1" ht="85.5" x14ac:dyDescent="0.45">
      <c r="A23" s="92">
        <v>12</v>
      </c>
      <c r="B23" s="93" t="s">
        <v>19</v>
      </c>
      <c r="C23" s="94" t="s">
        <v>19</v>
      </c>
      <c r="D23" s="95" t="s">
        <v>72</v>
      </c>
      <c r="E23" s="96">
        <f>30000000+18000000</f>
        <v>48000000</v>
      </c>
      <c r="F23" s="93" t="s">
        <v>19</v>
      </c>
      <c r="G23" s="97" t="s">
        <v>6</v>
      </c>
      <c r="H23" s="93" t="s">
        <v>73</v>
      </c>
      <c r="I23" s="93" t="s">
        <v>73</v>
      </c>
      <c r="J23" s="98">
        <v>11</v>
      </c>
      <c r="K23" s="99"/>
      <c r="L23" s="100"/>
      <c r="M23" s="101" t="s">
        <v>42</v>
      </c>
      <c r="N23" s="102" t="s">
        <v>202</v>
      </c>
      <c r="O23" s="103"/>
      <c r="P23" s="104">
        <f t="shared" si="0"/>
        <v>48000000</v>
      </c>
      <c r="Q23" s="201"/>
      <c r="U23" s="88" t="s">
        <v>590</v>
      </c>
    </row>
    <row r="24" spans="1:21" s="87" customFormat="1" ht="85.5" x14ac:dyDescent="0.45">
      <c r="A24" s="72">
        <v>89</v>
      </c>
      <c r="B24" s="73" t="s">
        <v>19</v>
      </c>
      <c r="C24" s="94" t="s">
        <v>288</v>
      </c>
      <c r="D24" s="75" t="s">
        <v>166</v>
      </c>
      <c r="E24" s="76">
        <v>54000000</v>
      </c>
      <c r="F24" s="73" t="s">
        <v>19</v>
      </c>
      <c r="G24" s="77" t="s">
        <v>6</v>
      </c>
      <c r="H24" s="73" t="s">
        <v>60</v>
      </c>
      <c r="I24" s="73" t="s">
        <v>133</v>
      </c>
      <c r="J24" s="89">
        <v>6</v>
      </c>
      <c r="K24" s="78">
        <v>42800</v>
      </c>
      <c r="L24" s="79">
        <v>42803</v>
      </c>
      <c r="M24" s="80" t="s">
        <v>42</v>
      </c>
      <c r="N24" s="105" t="s">
        <v>234</v>
      </c>
      <c r="O24" s="91">
        <v>54000000</v>
      </c>
      <c r="P24" s="104">
        <f t="shared" si="0"/>
        <v>0</v>
      </c>
      <c r="Q24" s="201"/>
      <c r="R24" s="87">
        <v>6</v>
      </c>
      <c r="S24" s="87">
        <v>3</v>
      </c>
      <c r="T24" s="87">
        <v>2017</v>
      </c>
      <c r="U24" s="277" t="s">
        <v>369</v>
      </c>
    </row>
    <row r="25" spans="1:21" s="87" customFormat="1" ht="85.5" x14ac:dyDescent="0.45">
      <c r="A25" s="72">
        <v>90</v>
      </c>
      <c r="B25" s="73" t="s">
        <v>19</v>
      </c>
      <c r="C25" s="94" t="s">
        <v>286</v>
      </c>
      <c r="D25" s="75" t="s">
        <v>162</v>
      </c>
      <c r="E25" s="76">
        <v>0</v>
      </c>
      <c r="F25" s="73" t="s">
        <v>19</v>
      </c>
      <c r="G25" s="77" t="s">
        <v>73</v>
      </c>
      <c r="H25" s="73" t="s">
        <v>73</v>
      </c>
      <c r="I25" s="73" t="s">
        <v>73</v>
      </c>
      <c r="J25" s="73" t="s">
        <v>73</v>
      </c>
      <c r="K25" s="78"/>
      <c r="L25" s="79"/>
      <c r="M25" s="80" t="s">
        <v>42</v>
      </c>
      <c r="N25" s="106" t="s">
        <v>349</v>
      </c>
      <c r="O25" s="84"/>
      <c r="P25" s="104">
        <f t="shared" si="0"/>
        <v>0</v>
      </c>
      <c r="Q25" s="201"/>
      <c r="U25" s="88" t="s">
        <v>423</v>
      </c>
    </row>
    <row r="26" spans="1:21" s="87" customFormat="1" ht="114" x14ac:dyDescent="0.45">
      <c r="A26" s="72">
        <v>91</v>
      </c>
      <c r="B26" s="73" t="s">
        <v>19</v>
      </c>
      <c r="C26" s="94" t="s">
        <v>288</v>
      </c>
      <c r="D26" s="75" t="s">
        <v>163</v>
      </c>
      <c r="E26" s="76">
        <v>42000000</v>
      </c>
      <c r="F26" s="73" t="s">
        <v>19</v>
      </c>
      <c r="G26" s="77" t="s">
        <v>6</v>
      </c>
      <c r="H26" s="73" t="s">
        <v>60</v>
      </c>
      <c r="I26" s="73" t="s">
        <v>133</v>
      </c>
      <c r="J26" s="89">
        <v>6</v>
      </c>
      <c r="K26" s="78">
        <v>42800</v>
      </c>
      <c r="L26" s="79">
        <v>42803</v>
      </c>
      <c r="M26" s="80" t="s">
        <v>42</v>
      </c>
      <c r="N26" s="105" t="s">
        <v>204</v>
      </c>
      <c r="O26" s="91">
        <v>42000000</v>
      </c>
      <c r="P26" s="104">
        <f t="shared" si="0"/>
        <v>0</v>
      </c>
      <c r="Q26" s="201"/>
      <c r="R26" s="87">
        <v>6</v>
      </c>
      <c r="S26" s="87">
        <v>3</v>
      </c>
      <c r="T26" s="87">
        <v>2017</v>
      </c>
      <c r="U26" s="277" t="s">
        <v>369</v>
      </c>
    </row>
    <row r="27" spans="1:21" s="87" customFormat="1" ht="85.5" x14ac:dyDescent="0.45">
      <c r="A27" s="92">
        <v>92</v>
      </c>
      <c r="B27" s="73" t="s">
        <v>19</v>
      </c>
      <c r="C27" s="94" t="s">
        <v>288</v>
      </c>
      <c r="D27" s="75" t="s">
        <v>164</v>
      </c>
      <c r="E27" s="76">
        <v>81000000</v>
      </c>
      <c r="F27" s="73" t="s">
        <v>19</v>
      </c>
      <c r="G27" s="77" t="s">
        <v>6</v>
      </c>
      <c r="H27" s="73" t="s">
        <v>60</v>
      </c>
      <c r="I27" s="73" t="s">
        <v>133</v>
      </c>
      <c r="J27" s="89">
        <v>9</v>
      </c>
      <c r="K27" s="78">
        <v>42800</v>
      </c>
      <c r="L27" s="79">
        <v>42803</v>
      </c>
      <c r="M27" s="80" t="s">
        <v>42</v>
      </c>
      <c r="N27" s="105" t="s">
        <v>205</v>
      </c>
      <c r="O27" s="91">
        <v>81000000</v>
      </c>
      <c r="P27" s="104">
        <f t="shared" si="0"/>
        <v>0</v>
      </c>
      <c r="Q27" s="201"/>
      <c r="R27" s="87">
        <v>6</v>
      </c>
      <c r="S27" s="87">
        <v>3</v>
      </c>
      <c r="T27" s="87">
        <v>2017</v>
      </c>
      <c r="U27" s="277" t="s">
        <v>369</v>
      </c>
    </row>
    <row r="28" spans="1:21" s="87" customFormat="1" ht="85.5" x14ac:dyDescent="0.45">
      <c r="A28" s="59">
        <v>92</v>
      </c>
      <c r="B28" s="73" t="s">
        <v>19</v>
      </c>
      <c r="C28" s="94" t="s">
        <v>288</v>
      </c>
      <c r="D28" s="75" t="s">
        <v>296</v>
      </c>
      <c r="E28" s="76">
        <v>9000000</v>
      </c>
      <c r="F28" s="73" t="s">
        <v>19</v>
      </c>
      <c r="G28" s="77" t="s">
        <v>285</v>
      </c>
      <c r="H28" s="73" t="s">
        <v>60</v>
      </c>
      <c r="I28" s="73" t="s">
        <v>133</v>
      </c>
      <c r="J28" s="89">
        <v>1</v>
      </c>
      <c r="K28" s="78">
        <v>43070</v>
      </c>
      <c r="L28" s="79">
        <v>43078</v>
      </c>
      <c r="M28" s="80" t="s">
        <v>42</v>
      </c>
      <c r="N28" s="105" t="s">
        <v>714</v>
      </c>
      <c r="O28" s="91">
        <v>6300000</v>
      </c>
      <c r="P28" s="104">
        <f t="shared" si="0"/>
        <v>2700000</v>
      </c>
      <c r="Q28" s="201"/>
      <c r="R28" s="87">
        <v>1</v>
      </c>
      <c r="S28" s="87">
        <v>12</v>
      </c>
      <c r="T28" s="87">
        <v>2017</v>
      </c>
      <c r="U28" s="88" t="s">
        <v>369</v>
      </c>
    </row>
    <row r="29" spans="1:21" s="87" customFormat="1" ht="85.5" x14ac:dyDescent="0.45">
      <c r="A29" s="72">
        <v>93</v>
      </c>
      <c r="B29" s="73" t="s">
        <v>19</v>
      </c>
      <c r="C29" s="74" t="s">
        <v>286</v>
      </c>
      <c r="D29" s="75" t="s">
        <v>180</v>
      </c>
      <c r="E29" s="76">
        <f>27500000-5500000</f>
        <v>22000000</v>
      </c>
      <c r="F29" s="73" t="s">
        <v>19</v>
      </c>
      <c r="G29" s="77" t="s">
        <v>285</v>
      </c>
      <c r="H29" s="73" t="s">
        <v>60</v>
      </c>
      <c r="I29" s="73" t="s">
        <v>133</v>
      </c>
      <c r="J29" s="89">
        <v>5</v>
      </c>
      <c r="K29" s="78">
        <v>42931</v>
      </c>
      <c r="L29" s="79">
        <v>42948</v>
      </c>
      <c r="M29" s="80" t="s">
        <v>42</v>
      </c>
      <c r="N29" s="90" t="s">
        <v>375</v>
      </c>
      <c r="O29" s="91">
        <v>22000000</v>
      </c>
      <c r="P29" s="104">
        <f t="shared" si="0"/>
        <v>0</v>
      </c>
      <c r="Q29" s="201"/>
      <c r="R29" s="87">
        <v>15</v>
      </c>
      <c r="S29" s="87">
        <v>7</v>
      </c>
      <c r="T29" s="87">
        <v>2017</v>
      </c>
      <c r="U29" s="277" t="s">
        <v>369</v>
      </c>
    </row>
    <row r="30" spans="1:21" s="87" customFormat="1" ht="114" x14ac:dyDescent="0.45">
      <c r="A30" s="72">
        <v>93</v>
      </c>
      <c r="B30" s="73" t="s">
        <v>19</v>
      </c>
      <c r="C30" s="74" t="s">
        <v>286</v>
      </c>
      <c r="D30" s="75" t="s">
        <v>645</v>
      </c>
      <c r="E30" s="76">
        <v>1906667</v>
      </c>
      <c r="F30" s="73" t="s">
        <v>19</v>
      </c>
      <c r="G30" s="77" t="s">
        <v>285</v>
      </c>
      <c r="H30" s="73" t="s">
        <v>60</v>
      </c>
      <c r="I30" s="73" t="s">
        <v>133</v>
      </c>
      <c r="J30" s="89" t="s">
        <v>646</v>
      </c>
      <c r="K30" s="78">
        <v>43079</v>
      </c>
      <c r="L30" s="79">
        <v>43087</v>
      </c>
      <c r="M30" s="80" t="s">
        <v>42</v>
      </c>
      <c r="N30" s="90" t="s">
        <v>715</v>
      </c>
      <c r="O30" s="91">
        <v>1906667</v>
      </c>
      <c r="P30" s="104">
        <f t="shared" si="0"/>
        <v>0</v>
      </c>
      <c r="Q30" s="201"/>
      <c r="R30" s="87">
        <v>10</v>
      </c>
      <c r="S30" s="87">
        <v>12</v>
      </c>
      <c r="T30" s="87">
        <v>2017</v>
      </c>
      <c r="U30" s="277" t="s">
        <v>369</v>
      </c>
    </row>
    <row r="31" spans="1:21" s="87" customFormat="1" ht="85.5" x14ac:dyDescent="0.45">
      <c r="A31" s="72">
        <v>94</v>
      </c>
      <c r="B31" s="73" t="s">
        <v>19</v>
      </c>
      <c r="C31" s="74" t="s">
        <v>286</v>
      </c>
      <c r="D31" s="75" t="s">
        <v>165</v>
      </c>
      <c r="E31" s="76">
        <v>0</v>
      </c>
      <c r="F31" s="73" t="s">
        <v>19</v>
      </c>
      <c r="G31" s="77" t="s">
        <v>73</v>
      </c>
      <c r="H31" s="73" t="s">
        <v>73</v>
      </c>
      <c r="I31" s="73" t="s">
        <v>73</v>
      </c>
      <c r="J31" s="73" t="s">
        <v>73</v>
      </c>
      <c r="K31" s="78"/>
      <c r="L31" s="79"/>
      <c r="M31" s="80" t="s">
        <v>42</v>
      </c>
      <c r="N31" s="106" t="s">
        <v>349</v>
      </c>
      <c r="O31" s="84"/>
      <c r="P31" s="104">
        <f t="shared" si="0"/>
        <v>0</v>
      </c>
      <c r="Q31" s="201"/>
      <c r="U31" s="88" t="s">
        <v>423</v>
      </c>
    </row>
    <row r="32" spans="1:21" s="87" customFormat="1" ht="85.5" x14ac:dyDescent="0.45">
      <c r="A32" s="92">
        <v>125</v>
      </c>
      <c r="B32" s="93" t="s">
        <v>19</v>
      </c>
      <c r="C32" s="94" t="s">
        <v>287</v>
      </c>
      <c r="D32" s="94" t="s">
        <v>250</v>
      </c>
      <c r="E32" s="96">
        <v>0</v>
      </c>
      <c r="F32" s="93" t="s">
        <v>19</v>
      </c>
      <c r="G32" s="97" t="s">
        <v>73</v>
      </c>
      <c r="H32" s="93" t="s">
        <v>73</v>
      </c>
      <c r="I32" s="93" t="s">
        <v>73</v>
      </c>
      <c r="J32" s="93" t="s">
        <v>73</v>
      </c>
      <c r="K32" s="99"/>
      <c r="L32" s="100"/>
      <c r="M32" s="101" t="s">
        <v>42</v>
      </c>
      <c r="N32" s="108" t="s">
        <v>348</v>
      </c>
      <c r="O32" s="103"/>
      <c r="P32" s="104">
        <f t="shared" si="0"/>
        <v>0</v>
      </c>
      <c r="Q32" s="201"/>
      <c r="U32" s="88" t="s">
        <v>423</v>
      </c>
    </row>
    <row r="33" spans="1:21" s="87" customFormat="1" ht="85.5" x14ac:dyDescent="0.45">
      <c r="A33" s="92">
        <v>126</v>
      </c>
      <c r="B33" s="93" t="s">
        <v>19</v>
      </c>
      <c r="C33" s="94" t="s">
        <v>289</v>
      </c>
      <c r="D33" s="94" t="s">
        <v>290</v>
      </c>
      <c r="E33" s="96">
        <f>27500000-14900000</f>
        <v>12600000</v>
      </c>
      <c r="F33" s="93" t="s">
        <v>19</v>
      </c>
      <c r="G33" s="97" t="s">
        <v>285</v>
      </c>
      <c r="H33" s="93" t="s">
        <v>60</v>
      </c>
      <c r="I33" s="93" t="s">
        <v>133</v>
      </c>
      <c r="J33" s="93">
        <v>5</v>
      </c>
      <c r="K33" s="100">
        <v>42972</v>
      </c>
      <c r="L33" s="100">
        <v>42979</v>
      </c>
      <c r="M33" s="101" t="s">
        <v>42</v>
      </c>
      <c r="N33" s="90" t="s">
        <v>473</v>
      </c>
      <c r="O33" s="91">
        <v>12600000</v>
      </c>
      <c r="P33" s="104">
        <f t="shared" si="0"/>
        <v>0</v>
      </c>
      <c r="Q33" s="201"/>
      <c r="R33" s="87">
        <v>25</v>
      </c>
      <c r="S33" s="87">
        <v>8</v>
      </c>
      <c r="T33" s="87">
        <v>2017</v>
      </c>
      <c r="U33" s="277" t="s">
        <v>369</v>
      </c>
    </row>
    <row r="34" spans="1:21" s="87" customFormat="1" ht="142.5" x14ac:dyDescent="0.45">
      <c r="A34" s="92">
        <v>127</v>
      </c>
      <c r="B34" s="93" t="s">
        <v>19</v>
      </c>
      <c r="C34" s="94" t="s">
        <v>581</v>
      </c>
      <c r="D34" s="94" t="s">
        <v>662</v>
      </c>
      <c r="E34" s="96">
        <f>200000000+100000000</f>
        <v>300000000</v>
      </c>
      <c r="F34" s="93" t="s">
        <v>19</v>
      </c>
      <c r="G34" s="97" t="s">
        <v>285</v>
      </c>
      <c r="H34" s="93" t="s">
        <v>60</v>
      </c>
      <c r="I34" s="93" t="s">
        <v>291</v>
      </c>
      <c r="J34" s="93">
        <v>1.5</v>
      </c>
      <c r="K34" s="100">
        <v>43023</v>
      </c>
      <c r="L34" s="100">
        <v>43054</v>
      </c>
      <c r="M34" s="101" t="s">
        <v>42</v>
      </c>
      <c r="N34" s="90" t="s">
        <v>692</v>
      </c>
      <c r="O34" s="91">
        <v>300000000</v>
      </c>
      <c r="P34" s="104">
        <f t="shared" si="0"/>
        <v>0</v>
      </c>
      <c r="Q34" s="201" t="s">
        <v>420</v>
      </c>
      <c r="R34" s="87">
        <v>15</v>
      </c>
      <c r="S34" s="87">
        <v>10</v>
      </c>
      <c r="T34" s="87">
        <v>2017</v>
      </c>
      <c r="U34" s="88" t="s">
        <v>369</v>
      </c>
    </row>
    <row r="35" spans="1:21" s="87" customFormat="1" ht="179.25" customHeight="1" x14ac:dyDescent="0.45">
      <c r="A35" s="92">
        <v>128</v>
      </c>
      <c r="B35" s="93" t="s">
        <v>19</v>
      </c>
      <c r="C35" s="94" t="s">
        <v>289</v>
      </c>
      <c r="D35" s="94" t="s">
        <v>536</v>
      </c>
      <c r="E35" s="96">
        <f>100000000-100000000</f>
        <v>0</v>
      </c>
      <c r="F35" s="93" t="s">
        <v>19</v>
      </c>
      <c r="G35" s="97" t="s">
        <v>285</v>
      </c>
      <c r="H35" s="93" t="s">
        <v>60</v>
      </c>
      <c r="I35" s="93" t="s">
        <v>291</v>
      </c>
      <c r="J35" s="93">
        <v>12</v>
      </c>
      <c r="K35" s="100">
        <v>43044</v>
      </c>
      <c r="L35" s="100">
        <v>43049</v>
      </c>
      <c r="M35" s="101" t="s">
        <v>42</v>
      </c>
      <c r="N35" s="102"/>
      <c r="O35" s="103"/>
      <c r="P35" s="104">
        <f t="shared" si="0"/>
        <v>0</v>
      </c>
      <c r="Q35" s="201" t="s">
        <v>420</v>
      </c>
      <c r="R35" s="87">
        <v>8</v>
      </c>
      <c r="S35" s="87">
        <v>8</v>
      </c>
      <c r="T35" s="87">
        <v>2017</v>
      </c>
      <c r="U35" s="88" t="s">
        <v>423</v>
      </c>
    </row>
    <row r="36" spans="1:21" s="87" customFormat="1" ht="85.5" x14ac:dyDescent="0.45">
      <c r="A36" s="92">
        <v>129</v>
      </c>
      <c r="B36" s="93" t="s">
        <v>19</v>
      </c>
      <c r="C36" s="94" t="s">
        <v>287</v>
      </c>
      <c r="D36" s="94" t="s">
        <v>292</v>
      </c>
      <c r="E36" s="96">
        <v>16500000</v>
      </c>
      <c r="F36" s="93" t="s">
        <v>19</v>
      </c>
      <c r="G36" s="97" t="s">
        <v>285</v>
      </c>
      <c r="H36" s="93" t="s">
        <v>60</v>
      </c>
      <c r="I36" s="93" t="s">
        <v>133</v>
      </c>
      <c r="J36" s="93">
        <v>3</v>
      </c>
      <c r="K36" s="99">
        <v>42979</v>
      </c>
      <c r="L36" s="100">
        <v>42993</v>
      </c>
      <c r="M36" s="101" t="s">
        <v>42</v>
      </c>
      <c r="N36" s="90" t="s">
        <v>711</v>
      </c>
      <c r="O36" s="91">
        <v>5000000</v>
      </c>
      <c r="P36" s="104">
        <f t="shared" si="0"/>
        <v>11500000</v>
      </c>
      <c r="Q36" s="201"/>
      <c r="R36" s="87">
        <v>1</v>
      </c>
      <c r="S36" s="87">
        <v>9</v>
      </c>
      <c r="T36" s="87">
        <v>2017</v>
      </c>
      <c r="U36" s="277" t="s">
        <v>369</v>
      </c>
    </row>
    <row r="37" spans="1:21" s="87" customFormat="1" ht="142.5" x14ac:dyDescent="0.45">
      <c r="A37" s="92">
        <v>130</v>
      </c>
      <c r="B37" s="93" t="s">
        <v>19</v>
      </c>
      <c r="C37" s="94" t="s">
        <v>287</v>
      </c>
      <c r="D37" s="94" t="s">
        <v>293</v>
      </c>
      <c r="E37" s="96">
        <v>50000000</v>
      </c>
      <c r="F37" s="93" t="s">
        <v>19</v>
      </c>
      <c r="G37" s="97" t="s">
        <v>285</v>
      </c>
      <c r="H37" s="93" t="s">
        <v>60</v>
      </c>
      <c r="I37" s="93" t="s">
        <v>291</v>
      </c>
      <c r="J37" s="93" t="s">
        <v>294</v>
      </c>
      <c r="K37" s="99">
        <v>42921</v>
      </c>
      <c r="L37" s="100">
        <v>42926</v>
      </c>
      <c r="M37" s="101" t="s">
        <v>42</v>
      </c>
      <c r="N37" s="90" t="s">
        <v>343</v>
      </c>
      <c r="O37" s="91">
        <v>50000000</v>
      </c>
      <c r="P37" s="104">
        <f t="shared" si="0"/>
        <v>0</v>
      </c>
      <c r="Q37" s="201"/>
      <c r="R37" s="87">
        <v>5</v>
      </c>
      <c r="S37" s="87">
        <v>7</v>
      </c>
      <c r="T37" s="87">
        <v>2017</v>
      </c>
      <c r="U37" s="277" t="s">
        <v>369</v>
      </c>
    </row>
    <row r="38" spans="1:21" s="87" customFormat="1" ht="85.5" x14ac:dyDescent="0.45">
      <c r="A38" s="92">
        <v>131</v>
      </c>
      <c r="B38" s="93" t="s">
        <v>19</v>
      </c>
      <c r="C38" s="94" t="s">
        <v>288</v>
      </c>
      <c r="D38" s="94" t="s">
        <v>445</v>
      </c>
      <c r="E38" s="96">
        <f>27500000-14000000</f>
        <v>13500000</v>
      </c>
      <c r="F38" s="93" t="s">
        <v>19</v>
      </c>
      <c r="G38" s="97" t="s">
        <v>285</v>
      </c>
      <c r="H38" s="93" t="s">
        <v>60</v>
      </c>
      <c r="I38" s="93" t="s">
        <v>133</v>
      </c>
      <c r="J38" s="93">
        <v>5</v>
      </c>
      <c r="K38" s="100">
        <v>42950</v>
      </c>
      <c r="L38" s="100">
        <v>42951</v>
      </c>
      <c r="M38" s="101" t="s">
        <v>42</v>
      </c>
      <c r="N38" s="90" t="s">
        <v>428</v>
      </c>
      <c r="O38" s="91">
        <v>13500000</v>
      </c>
      <c r="P38" s="104">
        <f t="shared" si="0"/>
        <v>0</v>
      </c>
      <c r="Q38" s="201"/>
      <c r="R38" s="87">
        <v>3</v>
      </c>
      <c r="S38" s="87">
        <v>8</v>
      </c>
      <c r="T38" s="87">
        <v>2017</v>
      </c>
      <c r="U38" s="277" t="s">
        <v>369</v>
      </c>
    </row>
    <row r="39" spans="1:21" s="87" customFormat="1" ht="85.5" x14ac:dyDescent="0.45">
      <c r="A39" s="92">
        <v>132</v>
      </c>
      <c r="B39" s="93" t="s">
        <v>19</v>
      </c>
      <c r="C39" s="94" t="s">
        <v>288</v>
      </c>
      <c r="D39" s="94" t="s">
        <v>354</v>
      </c>
      <c r="E39" s="96">
        <v>250000000</v>
      </c>
      <c r="F39" s="93" t="s">
        <v>19</v>
      </c>
      <c r="G39" s="97" t="s">
        <v>285</v>
      </c>
      <c r="H39" s="93" t="s">
        <v>319</v>
      </c>
      <c r="I39" s="93" t="s">
        <v>308</v>
      </c>
      <c r="J39" s="93">
        <v>4</v>
      </c>
      <c r="K39" s="100">
        <v>42950</v>
      </c>
      <c r="L39" s="100">
        <v>43009</v>
      </c>
      <c r="M39" s="101" t="s">
        <v>42</v>
      </c>
      <c r="N39" s="90" t="s">
        <v>710</v>
      </c>
      <c r="O39" s="91">
        <v>226628000</v>
      </c>
      <c r="P39" s="104">
        <f t="shared" si="0"/>
        <v>23372000</v>
      </c>
      <c r="Q39" s="201" t="s">
        <v>420</v>
      </c>
      <c r="R39" s="87">
        <v>3</v>
      </c>
      <c r="S39" s="87">
        <v>8</v>
      </c>
      <c r="T39" s="87">
        <v>2017</v>
      </c>
      <c r="U39" s="277" t="s">
        <v>369</v>
      </c>
    </row>
    <row r="40" spans="1:21" s="87" customFormat="1" ht="86.25" thickBot="1" x14ac:dyDescent="0.5">
      <c r="A40" s="109">
        <v>133</v>
      </c>
      <c r="B40" s="110" t="s">
        <v>19</v>
      </c>
      <c r="C40" s="111" t="s">
        <v>297</v>
      </c>
      <c r="D40" s="111" t="s">
        <v>298</v>
      </c>
      <c r="E40" s="112">
        <f>24000000-533334</f>
        <v>23466666</v>
      </c>
      <c r="F40" s="110" t="s">
        <v>19</v>
      </c>
      <c r="G40" s="113" t="s">
        <v>285</v>
      </c>
      <c r="H40" s="110" t="s">
        <v>60</v>
      </c>
      <c r="I40" s="110" t="s">
        <v>133</v>
      </c>
      <c r="J40" s="110">
        <v>3</v>
      </c>
      <c r="K40" s="114">
        <v>42988</v>
      </c>
      <c r="L40" s="115">
        <v>42993</v>
      </c>
      <c r="M40" s="116" t="s">
        <v>42</v>
      </c>
      <c r="N40" s="117" t="s">
        <v>516</v>
      </c>
      <c r="O40" s="118">
        <v>23466666</v>
      </c>
      <c r="P40" s="119">
        <f t="shared" si="0"/>
        <v>0</v>
      </c>
      <c r="Q40" s="201"/>
      <c r="R40" s="87">
        <v>10</v>
      </c>
      <c r="S40" s="87">
        <v>9</v>
      </c>
      <c r="T40" s="87">
        <v>2017</v>
      </c>
      <c r="U40" s="277" t="s">
        <v>369</v>
      </c>
    </row>
    <row r="41" spans="1:21" s="87" customFormat="1" ht="93.75" customHeight="1" thickTop="1" x14ac:dyDescent="0.45">
      <c r="A41" s="59">
        <v>13</v>
      </c>
      <c r="B41" s="60" t="s">
        <v>3</v>
      </c>
      <c r="C41" s="61" t="s">
        <v>300</v>
      </c>
      <c r="D41" s="358" t="s">
        <v>404</v>
      </c>
      <c r="E41" s="120">
        <f>350000000</f>
        <v>350000000</v>
      </c>
      <c r="F41" s="121" t="s">
        <v>3</v>
      </c>
      <c r="G41" s="64" t="s">
        <v>285</v>
      </c>
      <c r="H41" s="60" t="s">
        <v>60</v>
      </c>
      <c r="I41" s="60" t="s">
        <v>299</v>
      </c>
      <c r="J41" s="122">
        <v>4.5</v>
      </c>
      <c r="K41" s="123">
        <v>42950</v>
      </c>
      <c r="L41" s="123">
        <v>42962</v>
      </c>
      <c r="M41" s="67" t="s">
        <v>42</v>
      </c>
      <c r="N41" s="124" t="s">
        <v>482</v>
      </c>
      <c r="O41" s="125">
        <v>350000000</v>
      </c>
      <c r="P41" s="126">
        <f t="shared" si="0"/>
        <v>0</v>
      </c>
      <c r="Q41" s="201" t="s">
        <v>421</v>
      </c>
      <c r="R41" s="87">
        <v>3</v>
      </c>
      <c r="S41" s="87">
        <v>8</v>
      </c>
      <c r="T41" s="87">
        <v>2017</v>
      </c>
      <c r="U41" s="277" t="s">
        <v>369</v>
      </c>
    </row>
    <row r="42" spans="1:21" s="87" customFormat="1" ht="93.75" customHeight="1" x14ac:dyDescent="0.45">
      <c r="A42" s="59">
        <v>13</v>
      </c>
      <c r="B42" s="60" t="s">
        <v>3</v>
      </c>
      <c r="C42" s="61" t="s">
        <v>300</v>
      </c>
      <c r="D42" s="75" t="s">
        <v>659</v>
      </c>
      <c r="E42" s="120">
        <v>300000000</v>
      </c>
      <c r="F42" s="121" t="s">
        <v>3</v>
      </c>
      <c r="G42" s="64" t="s">
        <v>285</v>
      </c>
      <c r="H42" s="60" t="s">
        <v>60</v>
      </c>
      <c r="I42" s="60" t="s">
        <v>299</v>
      </c>
      <c r="J42" s="60">
        <v>5</v>
      </c>
      <c r="K42" s="66">
        <v>43041</v>
      </c>
      <c r="L42" s="66">
        <v>43050</v>
      </c>
      <c r="M42" s="67" t="s">
        <v>42</v>
      </c>
      <c r="N42" s="356"/>
      <c r="O42" s="357"/>
      <c r="P42" s="126">
        <f t="shared" si="0"/>
        <v>300000000</v>
      </c>
      <c r="Q42" s="201"/>
      <c r="R42" s="87">
        <v>2</v>
      </c>
      <c r="S42" s="87">
        <v>11</v>
      </c>
      <c r="T42" s="87">
        <v>2017</v>
      </c>
      <c r="U42" s="277" t="s">
        <v>370</v>
      </c>
    </row>
    <row r="43" spans="1:21" s="87" customFormat="1" ht="85.5" x14ac:dyDescent="0.45">
      <c r="A43" s="59">
        <v>14</v>
      </c>
      <c r="B43" s="60" t="s">
        <v>3</v>
      </c>
      <c r="C43" s="61" t="s">
        <v>300</v>
      </c>
      <c r="D43" s="62" t="s">
        <v>126</v>
      </c>
      <c r="E43" s="120">
        <v>48000000</v>
      </c>
      <c r="F43" s="121" t="s">
        <v>3</v>
      </c>
      <c r="G43" s="64" t="s">
        <v>6</v>
      </c>
      <c r="H43" s="60" t="s">
        <v>60</v>
      </c>
      <c r="I43" s="60" t="s">
        <v>133</v>
      </c>
      <c r="J43" s="127">
        <v>6</v>
      </c>
      <c r="K43" s="65">
        <v>42821</v>
      </c>
      <c r="L43" s="66">
        <v>42828</v>
      </c>
      <c r="M43" s="67" t="s">
        <v>42</v>
      </c>
      <c r="N43" s="90" t="s">
        <v>363</v>
      </c>
      <c r="O43" s="91">
        <v>48000000</v>
      </c>
      <c r="P43" s="85">
        <f t="shared" si="0"/>
        <v>0</v>
      </c>
      <c r="Q43" s="201"/>
      <c r="R43" s="87">
        <v>27</v>
      </c>
      <c r="S43" s="87">
        <v>3</v>
      </c>
      <c r="T43" s="87">
        <v>2017</v>
      </c>
      <c r="U43" s="277" t="s">
        <v>369</v>
      </c>
    </row>
    <row r="44" spans="1:21" s="87" customFormat="1" ht="85.5" x14ac:dyDescent="0.45">
      <c r="A44" s="72">
        <v>15</v>
      </c>
      <c r="B44" s="73" t="s">
        <v>3</v>
      </c>
      <c r="C44" s="74" t="s">
        <v>49</v>
      </c>
      <c r="D44" s="75" t="s">
        <v>98</v>
      </c>
      <c r="E44" s="128">
        <v>2266667</v>
      </c>
      <c r="F44" s="129" t="s">
        <v>3</v>
      </c>
      <c r="G44" s="77" t="s">
        <v>6</v>
      </c>
      <c r="H44" s="73" t="s">
        <v>60</v>
      </c>
      <c r="I44" s="73" t="s">
        <v>133</v>
      </c>
      <c r="J44" s="89">
        <v>11</v>
      </c>
      <c r="K44" s="78">
        <v>42767</v>
      </c>
      <c r="L44" s="79">
        <v>42779</v>
      </c>
      <c r="M44" s="80" t="s">
        <v>42</v>
      </c>
      <c r="N44" s="90" t="s">
        <v>151</v>
      </c>
      <c r="O44" s="278">
        <v>2266667</v>
      </c>
      <c r="P44" s="85">
        <f t="shared" si="0"/>
        <v>0</v>
      </c>
      <c r="Q44" s="201"/>
      <c r="R44" s="87">
        <v>1</v>
      </c>
      <c r="S44" s="87">
        <v>2</v>
      </c>
      <c r="T44" s="87">
        <v>2017</v>
      </c>
      <c r="U44" s="276" t="s">
        <v>369</v>
      </c>
    </row>
    <row r="45" spans="1:21" s="87" customFormat="1" ht="119.25" customHeight="1" x14ac:dyDescent="0.45">
      <c r="A45" s="59">
        <v>16</v>
      </c>
      <c r="B45" s="73" t="s">
        <v>3</v>
      </c>
      <c r="C45" s="61" t="s">
        <v>302</v>
      </c>
      <c r="D45" s="75" t="s">
        <v>167</v>
      </c>
      <c r="E45" s="76">
        <v>0</v>
      </c>
      <c r="F45" s="129" t="s">
        <v>3</v>
      </c>
      <c r="G45" s="93" t="s">
        <v>73</v>
      </c>
      <c r="H45" s="93" t="s">
        <v>73</v>
      </c>
      <c r="I45" s="93" t="s">
        <v>73</v>
      </c>
      <c r="J45" s="93" t="s">
        <v>73</v>
      </c>
      <c r="K45" s="130"/>
      <c r="L45" s="93"/>
      <c r="M45" s="80" t="s">
        <v>42</v>
      </c>
      <c r="N45" s="81" t="s">
        <v>227</v>
      </c>
      <c r="O45" s="84"/>
      <c r="P45" s="85">
        <f t="shared" si="0"/>
        <v>0</v>
      </c>
      <c r="Q45" s="201"/>
      <c r="U45" s="88" t="s">
        <v>423</v>
      </c>
    </row>
    <row r="46" spans="1:21" s="87" customFormat="1" ht="94.5" customHeight="1" x14ac:dyDescent="0.45">
      <c r="A46" s="59">
        <v>17</v>
      </c>
      <c r="B46" s="73" t="s">
        <v>3</v>
      </c>
      <c r="C46" s="61" t="s">
        <v>300</v>
      </c>
      <c r="D46" s="131" t="s">
        <v>98</v>
      </c>
      <c r="E46" s="128">
        <v>36000000</v>
      </c>
      <c r="F46" s="129" t="s">
        <v>3</v>
      </c>
      <c r="G46" s="77" t="s">
        <v>6</v>
      </c>
      <c r="H46" s="73" t="s">
        <v>60</v>
      </c>
      <c r="I46" s="73" t="s">
        <v>133</v>
      </c>
      <c r="J46" s="89">
        <v>9</v>
      </c>
      <c r="K46" s="78">
        <v>42800</v>
      </c>
      <c r="L46" s="79">
        <v>42804</v>
      </c>
      <c r="M46" s="80" t="s">
        <v>42</v>
      </c>
      <c r="N46" s="90" t="s">
        <v>220</v>
      </c>
      <c r="O46" s="91">
        <v>36000000</v>
      </c>
      <c r="P46" s="85">
        <f t="shared" si="0"/>
        <v>0</v>
      </c>
      <c r="Q46" s="201"/>
      <c r="R46" s="87">
        <v>6</v>
      </c>
      <c r="S46" s="87">
        <v>3</v>
      </c>
      <c r="T46" s="87">
        <v>2017</v>
      </c>
      <c r="U46" s="277" t="s">
        <v>369</v>
      </c>
    </row>
    <row r="47" spans="1:21" s="87" customFormat="1" ht="85.5" x14ac:dyDescent="0.45">
      <c r="A47" s="59">
        <v>17</v>
      </c>
      <c r="B47" s="73" t="s">
        <v>3</v>
      </c>
      <c r="C47" s="61" t="s">
        <v>300</v>
      </c>
      <c r="D47" s="131" t="s">
        <v>466</v>
      </c>
      <c r="E47" s="120">
        <v>18000000</v>
      </c>
      <c r="F47" s="121" t="s">
        <v>3</v>
      </c>
      <c r="G47" s="64" t="s">
        <v>285</v>
      </c>
      <c r="H47" s="60" t="s">
        <v>60</v>
      </c>
      <c r="I47" s="60" t="s">
        <v>133</v>
      </c>
      <c r="J47" s="127">
        <v>3</v>
      </c>
      <c r="K47" s="65">
        <v>42990</v>
      </c>
      <c r="L47" s="66">
        <v>43009</v>
      </c>
      <c r="M47" s="67" t="s">
        <v>42</v>
      </c>
      <c r="N47" s="90" t="s">
        <v>478</v>
      </c>
      <c r="O47" s="91">
        <v>18000000</v>
      </c>
      <c r="P47" s="85">
        <f t="shared" si="0"/>
        <v>0</v>
      </c>
      <c r="Q47" s="201"/>
      <c r="R47" s="87">
        <v>12</v>
      </c>
      <c r="S47" s="87">
        <v>9</v>
      </c>
      <c r="T47" s="87">
        <v>2017</v>
      </c>
      <c r="U47" s="277" t="s">
        <v>369</v>
      </c>
    </row>
    <row r="48" spans="1:21" s="87" customFormat="1" ht="85.5" x14ac:dyDescent="0.45">
      <c r="A48" s="59">
        <v>18</v>
      </c>
      <c r="B48" s="73" t="s">
        <v>3</v>
      </c>
      <c r="C48" s="61" t="s">
        <v>302</v>
      </c>
      <c r="D48" s="131" t="s">
        <v>226</v>
      </c>
      <c r="E48" s="120">
        <v>33000000</v>
      </c>
      <c r="F48" s="121" t="s">
        <v>3</v>
      </c>
      <c r="G48" s="64" t="s">
        <v>285</v>
      </c>
      <c r="H48" s="60" t="s">
        <v>60</v>
      </c>
      <c r="I48" s="60" t="s">
        <v>133</v>
      </c>
      <c r="J48" s="127">
        <v>6</v>
      </c>
      <c r="K48" s="65">
        <v>42800</v>
      </c>
      <c r="L48" s="66">
        <v>42804</v>
      </c>
      <c r="M48" s="67" t="s">
        <v>42</v>
      </c>
      <c r="N48" s="90" t="s">
        <v>229</v>
      </c>
      <c r="O48" s="91">
        <v>33000000</v>
      </c>
      <c r="P48" s="85">
        <f t="shared" si="0"/>
        <v>0</v>
      </c>
      <c r="Q48" s="201"/>
      <c r="R48" s="87">
        <v>6</v>
      </c>
      <c r="S48" s="87">
        <v>3</v>
      </c>
      <c r="T48" s="87">
        <v>2017</v>
      </c>
      <c r="U48" s="277" t="s">
        <v>369</v>
      </c>
    </row>
    <row r="49" spans="1:21" s="87" customFormat="1" ht="85.5" x14ac:dyDescent="0.45">
      <c r="A49" s="59">
        <v>18</v>
      </c>
      <c r="B49" s="73" t="s">
        <v>3</v>
      </c>
      <c r="C49" s="61" t="s">
        <v>302</v>
      </c>
      <c r="D49" s="131" t="s">
        <v>468</v>
      </c>
      <c r="E49" s="120">
        <v>11000000</v>
      </c>
      <c r="F49" s="121" t="s">
        <v>3</v>
      </c>
      <c r="G49" s="64" t="s">
        <v>285</v>
      </c>
      <c r="H49" s="60" t="s">
        <v>60</v>
      </c>
      <c r="I49" s="60" t="s">
        <v>133</v>
      </c>
      <c r="J49" s="127">
        <v>2</v>
      </c>
      <c r="K49" s="65">
        <v>43000</v>
      </c>
      <c r="L49" s="66">
        <v>43001</v>
      </c>
      <c r="M49" s="67" t="s">
        <v>42</v>
      </c>
      <c r="N49" s="90" t="s">
        <v>524</v>
      </c>
      <c r="O49" s="91">
        <v>11000000</v>
      </c>
      <c r="P49" s="85">
        <f t="shared" si="0"/>
        <v>0</v>
      </c>
      <c r="Q49" s="201"/>
      <c r="R49" s="87">
        <v>22</v>
      </c>
      <c r="S49" s="87">
        <v>9</v>
      </c>
      <c r="T49" s="87">
        <v>2017</v>
      </c>
      <c r="U49" s="277" t="s">
        <v>369</v>
      </c>
    </row>
    <row r="50" spans="1:21" s="87" customFormat="1" ht="85.5" x14ac:dyDescent="0.45">
      <c r="A50" s="59">
        <v>18</v>
      </c>
      <c r="B50" s="73" t="s">
        <v>3</v>
      </c>
      <c r="C50" s="61" t="s">
        <v>302</v>
      </c>
      <c r="D50" s="131" t="s">
        <v>660</v>
      </c>
      <c r="E50" s="120">
        <v>5500000</v>
      </c>
      <c r="F50" s="121" t="s">
        <v>3</v>
      </c>
      <c r="G50" s="64" t="s">
        <v>285</v>
      </c>
      <c r="H50" s="60" t="s">
        <v>60</v>
      </c>
      <c r="I50" s="60" t="s">
        <v>133</v>
      </c>
      <c r="J50" s="127">
        <v>1</v>
      </c>
      <c r="K50" s="65">
        <v>43063</v>
      </c>
      <c r="L50" s="65">
        <v>43063</v>
      </c>
      <c r="M50" s="67" t="s">
        <v>42</v>
      </c>
      <c r="N50" s="90" t="s">
        <v>524</v>
      </c>
      <c r="O50" s="91">
        <v>5500000</v>
      </c>
      <c r="P50" s="85">
        <f t="shared" si="0"/>
        <v>0</v>
      </c>
      <c r="Q50" s="201"/>
      <c r="R50" s="87">
        <v>24</v>
      </c>
      <c r="S50" s="87">
        <v>11</v>
      </c>
      <c r="T50" s="87">
        <v>2017</v>
      </c>
      <c r="U50" s="277" t="s">
        <v>369</v>
      </c>
    </row>
    <row r="51" spans="1:21" s="87" customFormat="1" ht="85.5" x14ac:dyDescent="0.45">
      <c r="A51" s="92">
        <v>19</v>
      </c>
      <c r="B51" s="73" t="s">
        <v>3</v>
      </c>
      <c r="C51" s="61" t="s">
        <v>300</v>
      </c>
      <c r="D51" s="131" t="s">
        <v>199</v>
      </c>
      <c r="E51" s="76">
        <f>15000000-9416667</f>
        <v>5583333</v>
      </c>
      <c r="F51" s="129" t="s">
        <v>3</v>
      </c>
      <c r="G51" s="77" t="s">
        <v>6</v>
      </c>
      <c r="H51" s="73" t="s">
        <v>60</v>
      </c>
      <c r="I51" s="73" t="s">
        <v>133</v>
      </c>
      <c r="J51" s="89">
        <v>6</v>
      </c>
      <c r="K51" s="78">
        <v>42800</v>
      </c>
      <c r="L51" s="79">
        <v>42804</v>
      </c>
      <c r="M51" s="80" t="s">
        <v>42</v>
      </c>
      <c r="N51" s="90" t="s">
        <v>595</v>
      </c>
      <c r="O51" s="91">
        <f>15000000-9416667</f>
        <v>5583333</v>
      </c>
      <c r="P51" s="85">
        <f t="shared" si="0"/>
        <v>0</v>
      </c>
      <c r="Q51" s="201"/>
      <c r="R51" s="87">
        <v>6</v>
      </c>
      <c r="S51" s="87">
        <v>3</v>
      </c>
      <c r="T51" s="87">
        <v>2017</v>
      </c>
      <c r="U51" s="277" t="s">
        <v>369</v>
      </c>
    </row>
    <row r="52" spans="1:21" s="87" customFormat="1" ht="85.5" x14ac:dyDescent="0.45">
      <c r="A52" s="92">
        <v>20</v>
      </c>
      <c r="B52" s="93" t="s">
        <v>3</v>
      </c>
      <c r="C52" s="94" t="s">
        <v>3</v>
      </c>
      <c r="D52" s="133" t="s">
        <v>72</v>
      </c>
      <c r="E52" s="428">
        <f>9500000+22667457-4033326</f>
        <v>28134131</v>
      </c>
      <c r="F52" s="134" t="s">
        <v>3</v>
      </c>
      <c r="G52" s="97" t="s">
        <v>6</v>
      </c>
      <c r="H52" s="93" t="s">
        <v>73</v>
      </c>
      <c r="I52" s="93" t="s">
        <v>73</v>
      </c>
      <c r="J52" s="98">
        <v>11</v>
      </c>
      <c r="K52" s="99"/>
      <c r="L52" s="100"/>
      <c r="M52" s="101" t="s">
        <v>42</v>
      </c>
      <c r="N52" s="102" t="s">
        <v>150</v>
      </c>
      <c r="O52" s="103"/>
      <c r="P52" s="104">
        <f t="shared" si="0"/>
        <v>28134131</v>
      </c>
      <c r="Q52" s="201"/>
      <c r="U52" s="88" t="s">
        <v>590</v>
      </c>
    </row>
    <row r="53" spans="1:21" s="87" customFormat="1" ht="85.5" x14ac:dyDescent="0.45">
      <c r="A53" s="72">
        <v>95</v>
      </c>
      <c r="B53" s="73" t="s">
        <v>3</v>
      </c>
      <c r="C53" s="74" t="s">
        <v>303</v>
      </c>
      <c r="D53" s="131" t="s">
        <v>168</v>
      </c>
      <c r="E53" s="76">
        <v>0</v>
      </c>
      <c r="F53" s="129" t="s">
        <v>3</v>
      </c>
      <c r="G53" s="93" t="s">
        <v>73</v>
      </c>
      <c r="H53" s="93" t="s">
        <v>73</v>
      </c>
      <c r="I53" s="93" t="s">
        <v>73</v>
      </c>
      <c r="J53" s="93" t="s">
        <v>73</v>
      </c>
      <c r="K53" s="130"/>
      <c r="L53" s="93"/>
      <c r="M53" s="80" t="s">
        <v>42</v>
      </c>
      <c r="N53" s="106" t="s">
        <v>203</v>
      </c>
      <c r="O53" s="84"/>
      <c r="P53" s="104">
        <f t="shared" si="0"/>
        <v>0</v>
      </c>
      <c r="Q53" s="201"/>
      <c r="U53" s="88" t="s">
        <v>423</v>
      </c>
    </row>
    <row r="54" spans="1:21" s="87" customFormat="1" ht="85.5" x14ac:dyDescent="0.45">
      <c r="A54" s="72">
        <v>96</v>
      </c>
      <c r="B54" s="73" t="s">
        <v>3</v>
      </c>
      <c r="C54" s="74" t="s">
        <v>303</v>
      </c>
      <c r="D54" s="131" t="s">
        <v>169</v>
      </c>
      <c r="E54" s="76">
        <v>0</v>
      </c>
      <c r="F54" s="129" t="s">
        <v>3</v>
      </c>
      <c r="G54" s="93" t="s">
        <v>73</v>
      </c>
      <c r="H54" s="93" t="s">
        <v>73</v>
      </c>
      <c r="I54" s="93" t="s">
        <v>73</v>
      </c>
      <c r="J54" s="93" t="s">
        <v>73</v>
      </c>
      <c r="K54" s="130"/>
      <c r="L54" s="93"/>
      <c r="M54" s="80" t="s">
        <v>42</v>
      </c>
      <c r="N54" s="106" t="s">
        <v>203</v>
      </c>
      <c r="O54" s="84"/>
      <c r="P54" s="104">
        <f t="shared" si="0"/>
        <v>0</v>
      </c>
      <c r="Q54" s="201"/>
      <c r="U54" s="88" t="s">
        <v>423</v>
      </c>
    </row>
    <row r="55" spans="1:21" s="87" customFormat="1" ht="85.5" x14ac:dyDescent="0.45">
      <c r="A55" s="72">
        <v>97</v>
      </c>
      <c r="B55" s="73" t="s">
        <v>3</v>
      </c>
      <c r="C55" s="74" t="s">
        <v>303</v>
      </c>
      <c r="D55" s="131" t="s">
        <v>181</v>
      </c>
      <c r="E55" s="76">
        <v>0</v>
      </c>
      <c r="F55" s="129" t="s">
        <v>3</v>
      </c>
      <c r="G55" s="93" t="s">
        <v>73</v>
      </c>
      <c r="H55" s="93" t="s">
        <v>73</v>
      </c>
      <c r="I55" s="93" t="s">
        <v>73</v>
      </c>
      <c r="J55" s="93" t="s">
        <v>73</v>
      </c>
      <c r="K55" s="130"/>
      <c r="L55" s="93"/>
      <c r="M55" s="80" t="s">
        <v>42</v>
      </c>
      <c r="N55" s="106" t="s">
        <v>203</v>
      </c>
      <c r="O55" s="84"/>
      <c r="P55" s="104">
        <f t="shared" si="0"/>
        <v>0</v>
      </c>
      <c r="Q55" s="201"/>
      <c r="U55" s="88" t="s">
        <v>423</v>
      </c>
    </row>
    <row r="56" spans="1:21" s="87" customFormat="1" ht="171" x14ac:dyDescent="0.45">
      <c r="A56" s="72">
        <v>120</v>
      </c>
      <c r="B56" s="73" t="s">
        <v>3</v>
      </c>
      <c r="C56" s="74" t="s">
        <v>304</v>
      </c>
      <c r="D56" s="131" t="s">
        <v>230</v>
      </c>
      <c r="E56" s="76">
        <v>14070500</v>
      </c>
      <c r="F56" s="129" t="s">
        <v>3</v>
      </c>
      <c r="G56" s="73" t="s">
        <v>6</v>
      </c>
      <c r="H56" s="73" t="s">
        <v>112</v>
      </c>
      <c r="I56" s="73" t="s">
        <v>134</v>
      </c>
      <c r="J56" s="89">
        <v>1</v>
      </c>
      <c r="K56" s="78">
        <v>42832</v>
      </c>
      <c r="L56" s="79">
        <v>42842</v>
      </c>
      <c r="M56" s="80" t="s">
        <v>42</v>
      </c>
      <c r="N56" s="90" t="s">
        <v>305</v>
      </c>
      <c r="O56" s="91">
        <v>14070500</v>
      </c>
      <c r="P56" s="104">
        <f t="shared" si="0"/>
        <v>0</v>
      </c>
      <c r="Q56" s="201"/>
      <c r="R56" s="87">
        <v>7</v>
      </c>
      <c r="S56" s="87">
        <v>4</v>
      </c>
      <c r="T56" s="87">
        <v>2017</v>
      </c>
      <c r="U56" s="277" t="s">
        <v>369</v>
      </c>
    </row>
    <row r="57" spans="1:21" s="87" customFormat="1" ht="95.25" customHeight="1" x14ac:dyDescent="0.45">
      <c r="A57" s="59">
        <v>134</v>
      </c>
      <c r="B57" s="73" t="s">
        <v>3</v>
      </c>
      <c r="C57" s="74" t="s">
        <v>300</v>
      </c>
      <c r="D57" s="131" t="s">
        <v>355</v>
      </c>
      <c r="E57" s="76">
        <f>27500000-5500000</f>
        <v>22000000</v>
      </c>
      <c r="F57" s="129" t="s">
        <v>3</v>
      </c>
      <c r="G57" s="73" t="s">
        <v>285</v>
      </c>
      <c r="H57" s="73" t="s">
        <v>60</v>
      </c>
      <c r="I57" s="73" t="s">
        <v>133</v>
      </c>
      <c r="J57" s="89">
        <v>5</v>
      </c>
      <c r="K57" s="78">
        <v>42948</v>
      </c>
      <c r="L57" s="79">
        <v>42955</v>
      </c>
      <c r="M57" s="80" t="s">
        <v>42</v>
      </c>
      <c r="N57" s="90" t="s">
        <v>425</v>
      </c>
      <c r="O57" s="91">
        <v>22000000</v>
      </c>
      <c r="P57" s="104">
        <f t="shared" si="0"/>
        <v>0</v>
      </c>
      <c r="Q57" s="201"/>
      <c r="R57" s="87">
        <v>1</v>
      </c>
      <c r="S57" s="87">
        <v>8</v>
      </c>
      <c r="T57" s="87">
        <v>2017</v>
      </c>
      <c r="U57" s="277" t="s">
        <v>369</v>
      </c>
    </row>
    <row r="58" spans="1:21" s="87" customFormat="1" ht="95.25" customHeight="1" x14ac:dyDescent="0.45">
      <c r="A58" s="461">
        <v>134</v>
      </c>
      <c r="B58" s="423" t="s">
        <v>3</v>
      </c>
      <c r="C58" s="430" t="s">
        <v>300</v>
      </c>
      <c r="D58" s="462" t="s">
        <v>706</v>
      </c>
      <c r="E58" s="422">
        <v>4033326</v>
      </c>
      <c r="F58" s="433" t="s">
        <v>3</v>
      </c>
      <c r="G58" s="423" t="s">
        <v>285</v>
      </c>
      <c r="H58" s="423" t="s">
        <v>112</v>
      </c>
      <c r="I58" s="423" t="s">
        <v>133</v>
      </c>
      <c r="J58" s="463" t="s">
        <v>707</v>
      </c>
      <c r="K58" s="434">
        <v>43077</v>
      </c>
      <c r="L58" s="434">
        <v>43077</v>
      </c>
      <c r="M58" s="429" t="s">
        <v>42</v>
      </c>
      <c r="N58" s="90" t="s">
        <v>708</v>
      </c>
      <c r="O58" s="91">
        <v>4033326</v>
      </c>
      <c r="P58" s="104">
        <f t="shared" si="0"/>
        <v>0</v>
      </c>
      <c r="Q58" s="201"/>
      <c r="U58" s="277" t="s">
        <v>369</v>
      </c>
    </row>
    <row r="59" spans="1:21" s="87" customFormat="1" ht="85.5" x14ac:dyDescent="0.45">
      <c r="A59" s="72">
        <v>135</v>
      </c>
      <c r="B59" s="73" t="s">
        <v>3</v>
      </c>
      <c r="C59" s="61" t="s">
        <v>302</v>
      </c>
      <c r="D59" s="131" t="s">
        <v>306</v>
      </c>
      <c r="E59" s="76">
        <f>27500000-5500000</f>
        <v>22000000</v>
      </c>
      <c r="F59" s="121" t="s">
        <v>3</v>
      </c>
      <c r="G59" s="64" t="s">
        <v>285</v>
      </c>
      <c r="H59" s="60" t="s">
        <v>60</v>
      </c>
      <c r="I59" s="60" t="s">
        <v>133</v>
      </c>
      <c r="J59" s="89">
        <v>5</v>
      </c>
      <c r="K59" s="78">
        <v>42931</v>
      </c>
      <c r="L59" s="79">
        <v>42948</v>
      </c>
      <c r="M59" s="67" t="s">
        <v>42</v>
      </c>
      <c r="N59" s="90" t="s">
        <v>424</v>
      </c>
      <c r="O59" s="91">
        <v>22000000</v>
      </c>
      <c r="P59" s="104">
        <f t="shared" si="0"/>
        <v>0</v>
      </c>
      <c r="Q59" s="201"/>
      <c r="R59" s="87">
        <v>15</v>
      </c>
      <c r="S59" s="87">
        <v>7</v>
      </c>
      <c r="T59" s="87">
        <v>2017</v>
      </c>
      <c r="U59" s="277" t="s">
        <v>369</v>
      </c>
    </row>
    <row r="60" spans="1:21" s="87" customFormat="1" ht="85.5" x14ac:dyDescent="0.45">
      <c r="A60" s="72">
        <v>135</v>
      </c>
      <c r="B60" s="73" t="s">
        <v>3</v>
      </c>
      <c r="C60" s="61" t="s">
        <v>302</v>
      </c>
      <c r="D60" s="131" t="s">
        <v>653</v>
      </c>
      <c r="E60" s="76">
        <v>3850000</v>
      </c>
      <c r="F60" s="121" t="s">
        <v>3</v>
      </c>
      <c r="G60" s="64" t="s">
        <v>285</v>
      </c>
      <c r="H60" s="60" t="s">
        <v>60</v>
      </c>
      <c r="I60" s="60" t="s">
        <v>133</v>
      </c>
      <c r="J60" s="89" t="s">
        <v>654</v>
      </c>
      <c r="K60" s="78">
        <v>43070</v>
      </c>
      <c r="L60" s="79">
        <v>43079</v>
      </c>
      <c r="M60" s="67" t="s">
        <v>42</v>
      </c>
      <c r="N60" s="90" t="s">
        <v>716</v>
      </c>
      <c r="O60" s="91">
        <v>2556667</v>
      </c>
      <c r="P60" s="104">
        <f t="shared" si="0"/>
        <v>1293333</v>
      </c>
      <c r="Q60" s="201"/>
      <c r="R60" s="87">
        <v>1</v>
      </c>
      <c r="S60" s="87">
        <v>12</v>
      </c>
      <c r="T60" s="87">
        <v>2017</v>
      </c>
      <c r="U60" s="277" t="s">
        <v>369</v>
      </c>
    </row>
    <row r="61" spans="1:21" s="87" customFormat="1" ht="85.5" x14ac:dyDescent="0.45">
      <c r="A61" s="72">
        <v>136</v>
      </c>
      <c r="B61" s="73" t="s">
        <v>3</v>
      </c>
      <c r="C61" s="61" t="s">
        <v>302</v>
      </c>
      <c r="D61" s="131" t="s">
        <v>307</v>
      </c>
      <c r="E61" s="76">
        <f>12500000-2500000</f>
        <v>10000000</v>
      </c>
      <c r="F61" s="121" t="s">
        <v>3</v>
      </c>
      <c r="G61" s="64" t="s">
        <v>285</v>
      </c>
      <c r="H61" s="60" t="s">
        <v>60</v>
      </c>
      <c r="I61" s="60" t="s">
        <v>133</v>
      </c>
      <c r="J61" s="89">
        <v>5</v>
      </c>
      <c r="K61" s="78">
        <v>42931</v>
      </c>
      <c r="L61" s="79">
        <v>42948</v>
      </c>
      <c r="M61" s="67" t="s">
        <v>42</v>
      </c>
      <c r="N61" s="90" t="s">
        <v>403</v>
      </c>
      <c r="O61" s="91">
        <v>10000000</v>
      </c>
      <c r="P61" s="104">
        <f t="shared" si="0"/>
        <v>0</v>
      </c>
      <c r="Q61" s="201"/>
      <c r="R61" s="87">
        <v>15</v>
      </c>
      <c r="S61" s="87">
        <v>7</v>
      </c>
      <c r="T61" s="87">
        <v>2017</v>
      </c>
      <c r="U61" s="277" t="s">
        <v>369</v>
      </c>
    </row>
    <row r="62" spans="1:21" s="87" customFormat="1" ht="85.5" x14ac:dyDescent="0.45">
      <c r="A62" s="72">
        <v>136</v>
      </c>
      <c r="B62" s="73" t="s">
        <v>3</v>
      </c>
      <c r="C62" s="61" t="s">
        <v>302</v>
      </c>
      <c r="D62" s="131" t="s">
        <v>651</v>
      </c>
      <c r="E62" s="76">
        <v>3083333</v>
      </c>
      <c r="F62" s="121" t="s">
        <v>3</v>
      </c>
      <c r="G62" s="64" t="s">
        <v>285</v>
      </c>
      <c r="H62" s="60" t="s">
        <v>60</v>
      </c>
      <c r="I62" s="60" t="s">
        <v>133</v>
      </c>
      <c r="J62" s="73" t="s">
        <v>652</v>
      </c>
      <c r="K62" s="99">
        <v>43055</v>
      </c>
      <c r="L62" s="100">
        <v>43063</v>
      </c>
      <c r="M62" s="67" t="s">
        <v>42</v>
      </c>
      <c r="N62" s="90" t="s">
        <v>704</v>
      </c>
      <c r="O62" s="91">
        <v>3083333</v>
      </c>
      <c r="P62" s="104">
        <f t="shared" si="0"/>
        <v>0</v>
      </c>
      <c r="Q62" s="201"/>
      <c r="R62" s="87">
        <v>13</v>
      </c>
      <c r="S62" s="87">
        <v>11</v>
      </c>
      <c r="T62" s="87">
        <v>2017</v>
      </c>
      <c r="U62" s="277" t="s">
        <v>369</v>
      </c>
    </row>
    <row r="63" spans="1:21" s="87" customFormat="1" ht="85.5" x14ac:dyDescent="0.45">
      <c r="A63" s="72">
        <v>137</v>
      </c>
      <c r="B63" s="73" t="s">
        <v>3</v>
      </c>
      <c r="C63" s="61" t="s">
        <v>302</v>
      </c>
      <c r="D63" s="131" t="s">
        <v>453</v>
      </c>
      <c r="E63" s="76">
        <f>15000000-13166667</f>
        <v>1833333</v>
      </c>
      <c r="F63" s="121" t="s">
        <v>3</v>
      </c>
      <c r="G63" s="64" t="s">
        <v>285</v>
      </c>
      <c r="H63" s="60" t="s">
        <v>60</v>
      </c>
      <c r="I63" s="60" t="s">
        <v>133</v>
      </c>
      <c r="J63" s="89">
        <v>3</v>
      </c>
      <c r="K63" s="100">
        <v>42972</v>
      </c>
      <c r="L63" s="100">
        <v>42979</v>
      </c>
      <c r="M63" s="67" t="s">
        <v>42</v>
      </c>
      <c r="N63" s="90" t="s">
        <v>477</v>
      </c>
      <c r="O63" s="91">
        <v>1833333</v>
      </c>
      <c r="P63" s="104">
        <f t="shared" si="0"/>
        <v>0</v>
      </c>
      <c r="Q63" s="201"/>
      <c r="R63" s="87">
        <v>25</v>
      </c>
      <c r="S63" s="87">
        <v>8</v>
      </c>
      <c r="T63" s="87">
        <v>2017</v>
      </c>
      <c r="U63" s="277" t="s">
        <v>369</v>
      </c>
    </row>
    <row r="64" spans="1:21" s="87" customFormat="1" ht="90.75" customHeight="1" x14ac:dyDescent="0.45">
      <c r="A64" s="72">
        <v>138</v>
      </c>
      <c r="B64" s="73" t="s">
        <v>3</v>
      </c>
      <c r="C64" s="61" t="s">
        <v>304</v>
      </c>
      <c r="D64" s="131" t="s">
        <v>301</v>
      </c>
      <c r="E64" s="76">
        <f>12500000-2500000</f>
        <v>10000000</v>
      </c>
      <c r="F64" s="121" t="s">
        <v>3</v>
      </c>
      <c r="G64" s="64" t="s">
        <v>285</v>
      </c>
      <c r="H64" s="60" t="s">
        <v>60</v>
      </c>
      <c r="I64" s="60" t="s">
        <v>133</v>
      </c>
      <c r="J64" s="89">
        <v>5</v>
      </c>
      <c r="K64" s="78">
        <v>42927</v>
      </c>
      <c r="L64" s="79">
        <v>42930</v>
      </c>
      <c r="M64" s="67" t="s">
        <v>42</v>
      </c>
      <c r="N64" s="90" t="s">
        <v>361</v>
      </c>
      <c r="O64" s="91">
        <v>10000000</v>
      </c>
      <c r="P64" s="104">
        <f t="shared" si="0"/>
        <v>0</v>
      </c>
      <c r="Q64" s="201"/>
      <c r="R64" s="87">
        <v>11</v>
      </c>
      <c r="S64" s="87">
        <v>7</v>
      </c>
      <c r="T64" s="87">
        <v>2017</v>
      </c>
      <c r="U64" s="277" t="s">
        <v>369</v>
      </c>
    </row>
    <row r="65" spans="1:21" s="87" customFormat="1" ht="90.75" customHeight="1" x14ac:dyDescent="0.45">
      <c r="A65" s="72">
        <v>138</v>
      </c>
      <c r="B65" s="73" t="s">
        <v>3</v>
      </c>
      <c r="C65" s="61" t="s">
        <v>304</v>
      </c>
      <c r="D65" s="131" t="s">
        <v>666</v>
      </c>
      <c r="E65" s="76">
        <v>3666667</v>
      </c>
      <c r="F65" s="121" t="s">
        <v>3</v>
      </c>
      <c r="G65" s="64" t="s">
        <v>285</v>
      </c>
      <c r="H65" s="60" t="s">
        <v>60</v>
      </c>
      <c r="I65" s="60" t="s">
        <v>133</v>
      </c>
      <c r="J65" s="93" t="s">
        <v>650</v>
      </c>
      <c r="K65" s="99">
        <v>43048</v>
      </c>
      <c r="L65" s="100">
        <v>43056</v>
      </c>
      <c r="M65" s="67" t="s">
        <v>42</v>
      </c>
      <c r="N65" s="90" t="s">
        <v>667</v>
      </c>
      <c r="O65" s="91">
        <v>3666667</v>
      </c>
      <c r="P65" s="104">
        <f t="shared" si="0"/>
        <v>0</v>
      </c>
      <c r="Q65" s="201"/>
      <c r="R65" s="87">
        <v>9</v>
      </c>
      <c r="S65" s="87">
        <v>11</v>
      </c>
      <c r="T65" s="87">
        <v>2017</v>
      </c>
      <c r="U65" s="277" t="s">
        <v>369</v>
      </c>
    </row>
    <row r="66" spans="1:21" s="87" customFormat="1" ht="85.5" x14ac:dyDescent="0.45">
      <c r="A66" s="72">
        <v>139</v>
      </c>
      <c r="B66" s="73" t="s">
        <v>3</v>
      </c>
      <c r="C66" s="61" t="s">
        <v>304</v>
      </c>
      <c r="D66" s="131" t="s">
        <v>454</v>
      </c>
      <c r="E66" s="76">
        <f>12090759-12090759</f>
        <v>0</v>
      </c>
      <c r="F66" s="121" t="s">
        <v>3</v>
      </c>
      <c r="G66" s="64" t="s">
        <v>285</v>
      </c>
      <c r="H66" s="60" t="s">
        <v>70</v>
      </c>
      <c r="I66" s="60" t="s">
        <v>308</v>
      </c>
      <c r="J66" s="93">
        <v>1</v>
      </c>
      <c r="K66" s="100">
        <v>43023</v>
      </c>
      <c r="L66" s="100">
        <v>43069</v>
      </c>
      <c r="M66" s="67" t="s">
        <v>42</v>
      </c>
      <c r="O66" s="84"/>
      <c r="P66" s="104">
        <f t="shared" si="0"/>
        <v>0</v>
      </c>
      <c r="Q66" s="201" t="s">
        <v>421</v>
      </c>
      <c r="R66" s="87">
        <v>15</v>
      </c>
      <c r="S66" s="87">
        <v>10</v>
      </c>
      <c r="T66" s="87">
        <v>2017</v>
      </c>
      <c r="U66" s="88" t="s">
        <v>423</v>
      </c>
    </row>
    <row r="67" spans="1:21" s="87" customFormat="1" ht="115.5" customHeight="1" x14ac:dyDescent="0.45">
      <c r="A67" s="72">
        <v>140</v>
      </c>
      <c r="B67" s="73" t="s">
        <v>3</v>
      </c>
      <c r="C67" s="74" t="s">
        <v>303</v>
      </c>
      <c r="D67" s="131" t="s">
        <v>467</v>
      </c>
      <c r="E67" s="76">
        <f>20000000-1500000</f>
        <v>18500000</v>
      </c>
      <c r="F67" s="129" t="s">
        <v>3</v>
      </c>
      <c r="G67" s="77" t="s">
        <v>285</v>
      </c>
      <c r="H67" s="73" t="s">
        <v>60</v>
      </c>
      <c r="I67" s="73" t="s">
        <v>133</v>
      </c>
      <c r="J67" s="89">
        <v>2.5</v>
      </c>
      <c r="K67" s="78">
        <v>42999</v>
      </c>
      <c r="L67" s="79">
        <v>43009</v>
      </c>
      <c r="M67" s="80" t="s">
        <v>42</v>
      </c>
      <c r="N67" s="90" t="s">
        <v>525</v>
      </c>
      <c r="O67" s="91">
        <v>18500000</v>
      </c>
      <c r="P67" s="104">
        <f t="shared" si="0"/>
        <v>0</v>
      </c>
      <c r="Q67" s="201"/>
      <c r="R67" s="87">
        <v>21</v>
      </c>
      <c r="S67" s="87">
        <v>9</v>
      </c>
      <c r="T67" s="87">
        <v>2017</v>
      </c>
      <c r="U67" s="277" t="s">
        <v>369</v>
      </c>
    </row>
    <row r="68" spans="1:21" s="87" customFormat="1" ht="76.5" customHeight="1" x14ac:dyDescent="0.45">
      <c r="A68" s="92">
        <v>141</v>
      </c>
      <c r="B68" s="93" t="s">
        <v>3</v>
      </c>
      <c r="C68" s="359" t="s">
        <v>303</v>
      </c>
      <c r="D68" s="133" t="s">
        <v>309</v>
      </c>
      <c r="E68" s="96">
        <f>2500000+453662831+409241</f>
        <v>456572072</v>
      </c>
      <c r="F68" s="360" t="s">
        <v>3</v>
      </c>
      <c r="G68" s="361" t="s">
        <v>285</v>
      </c>
      <c r="H68" s="180" t="s">
        <v>110</v>
      </c>
      <c r="I68" s="180" t="s">
        <v>295</v>
      </c>
      <c r="J68" s="98">
        <v>4</v>
      </c>
      <c r="K68" s="100">
        <v>42962</v>
      </c>
      <c r="L68" s="100">
        <v>43023</v>
      </c>
      <c r="M68" s="362" t="s">
        <v>42</v>
      </c>
      <c r="N68" s="102"/>
      <c r="O68" s="103"/>
      <c r="P68" s="104">
        <f t="shared" si="0"/>
        <v>456572072</v>
      </c>
      <c r="Q68" s="201" t="s">
        <v>422</v>
      </c>
      <c r="R68" s="87">
        <v>15</v>
      </c>
      <c r="S68" s="87">
        <v>8</v>
      </c>
      <c r="T68" s="87">
        <v>2017</v>
      </c>
      <c r="U68" s="88" t="s">
        <v>374</v>
      </c>
    </row>
    <row r="69" spans="1:21" s="87" customFormat="1" ht="123.75" customHeight="1" x14ac:dyDescent="0.45">
      <c r="A69" s="92">
        <v>144</v>
      </c>
      <c r="B69" s="134" t="s">
        <v>3</v>
      </c>
      <c r="C69" s="151" t="s">
        <v>302</v>
      </c>
      <c r="D69" s="94" t="s">
        <v>661</v>
      </c>
      <c r="E69" s="96">
        <v>11169866</v>
      </c>
      <c r="F69" s="134" t="s">
        <v>3</v>
      </c>
      <c r="G69" s="97" t="s">
        <v>285</v>
      </c>
      <c r="H69" s="93" t="s">
        <v>60</v>
      </c>
      <c r="I69" s="93" t="s">
        <v>389</v>
      </c>
      <c r="J69" s="98" t="s">
        <v>73</v>
      </c>
      <c r="K69" s="100">
        <v>43048</v>
      </c>
      <c r="L69" s="100">
        <v>43054</v>
      </c>
      <c r="M69" s="101" t="s">
        <v>42</v>
      </c>
      <c r="N69" s="90" t="s">
        <v>518</v>
      </c>
      <c r="O69" s="91">
        <v>11169866</v>
      </c>
      <c r="P69" s="104">
        <f t="shared" si="0"/>
        <v>0</v>
      </c>
      <c r="Q69" s="201"/>
      <c r="R69" s="87">
        <v>8</v>
      </c>
      <c r="S69" s="87">
        <v>11</v>
      </c>
      <c r="T69" s="87">
        <v>2017</v>
      </c>
      <c r="U69" s="88" t="s">
        <v>369</v>
      </c>
    </row>
    <row r="70" spans="1:21" s="87" customFormat="1" ht="123.75" customHeight="1" thickBot="1" x14ac:dyDescent="0.5">
      <c r="A70" s="109">
        <v>251</v>
      </c>
      <c r="B70" s="110" t="s">
        <v>3</v>
      </c>
      <c r="C70" s="418" t="s">
        <v>302</v>
      </c>
      <c r="D70" s="111" t="s">
        <v>657</v>
      </c>
      <c r="E70" s="112">
        <v>2236770</v>
      </c>
      <c r="F70" s="156" t="s">
        <v>3</v>
      </c>
      <c r="G70" s="113" t="s">
        <v>6</v>
      </c>
      <c r="H70" s="110" t="s">
        <v>60</v>
      </c>
      <c r="I70" s="93" t="s">
        <v>133</v>
      </c>
      <c r="J70" s="137">
        <v>1.5</v>
      </c>
      <c r="K70" s="115">
        <v>43048</v>
      </c>
      <c r="L70" s="115">
        <v>43054</v>
      </c>
      <c r="M70" s="116" t="s">
        <v>44</v>
      </c>
      <c r="N70" s="117" t="s">
        <v>688</v>
      </c>
      <c r="O70" s="118">
        <v>2236770</v>
      </c>
      <c r="P70" s="119">
        <f t="shared" si="0"/>
        <v>0</v>
      </c>
      <c r="Q70" s="201"/>
      <c r="R70" s="87">
        <v>9</v>
      </c>
      <c r="S70" s="87">
        <v>11</v>
      </c>
      <c r="T70" s="87">
        <v>2017</v>
      </c>
      <c r="U70" s="88" t="s">
        <v>369</v>
      </c>
    </row>
    <row r="71" spans="1:21" s="87" customFormat="1" ht="143.25" thickTop="1" x14ac:dyDescent="0.45">
      <c r="A71" s="59">
        <v>21</v>
      </c>
      <c r="B71" s="60" t="s">
        <v>4</v>
      </c>
      <c r="C71" s="61" t="s">
        <v>310</v>
      </c>
      <c r="D71" s="62" t="s">
        <v>311</v>
      </c>
      <c r="E71" s="63">
        <f>300000000-1900000-298100000</f>
        <v>0</v>
      </c>
      <c r="F71" s="60" t="s">
        <v>4</v>
      </c>
      <c r="G71" s="64" t="s">
        <v>285</v>
      </c>
      <c r="H71" s="60" t="s">
        <v>60</v>
      </c>
      <c r="I71" s="60" t="s">
        <v>291</v>
      </c>
      <c r="J71" s="60">
        <v>1.5</v>
      </c>
      <c r="K71" s="139">
        <v>43023</v>
      </c>
      <c r="L71" s="139">
        <v>43054</v>
      </c>
      <c r="M71" s="67" t="s">
        <v>42</v>
      </c>
      <c r="N71" s="140" t="s">
        <v>312</v>
      </c>
      <c r="O71" s="141"/>
      <c r="P71" s="126">
        <f t="shared" si="0"/>
        <v>0</v>
      </c>
      <c r="Q71" s="201" t="s">
        <v>422</v>
      </c>
      <c r="R71" s="87">
        <v>15</v>
      </c>
      <c r="S71" s="87">
        <v>10</v>
      </c>
      <c r="T71" s="87">
        <v>2017</v>
      </c>
      <c r="U71" s="88" t="s">
        <v>423</v>
      </c>
    </row>
    <row r="72" spans="1:21" s="87" customFormat="1" ht="114" x14ac:dyDescent="0.45">
      <c r="A72" s="72">
        <v>22</v>
      </c>
      <c r="B72" s="73" t="s">
        <v>4</v>
      </c>
      <c r="C72" s="74" t="s">
        <v>24</v>
      </c>
      <c r="D72" s="75" t="s">
        <v>51</v>
      </c>
      <c r="E72" s="76">
        <v>0</v>
      </c>
      <c r="F72" s="73" t="s">
        <v>4</v>
      </c>
      <c r="G72" s="77" t="s">
        <v>73</v>
      </c>
      <c r="H72" s="73" t="s">
        <v>73</v>
      </c>
      <c r="I72" s="73" t="s">
        <v>73</v>
      </c>
      <c r="J72" s="73" t="s">
        <v>73</v>
      </c>
      <c r="K72" s="78"/>
      <c r="L72" s="79"/>
      <c r="M72" s="80" t="s">
        <v>42</v>
      </c>
      <c r="N72" s="81" t="s">
        <v>200</v>
      </c>
      <c r="O72" s="84"/>
      <c r="P72" s="85">
        <f t="shared" si="0"/>
        <v>0</v>
      </c>
      <c r="Q72" s="86"/>
      <c r="U72" s="88" t="s">
        <v>423</v>
      </c>
    </row>
    <row r="73" spans="1:21" s="87" customFormat="1" ht="114" x14ac:dyDescent="0.45">
      <c r="A73" s="72">
        <v>23</v>
      </c>
      <c r="B73" s="73" t="s">
        <v>4</v>
      </c>
      <c r="C73" s="74" t="s">
        <v>313</v>
      </c>
      <c r="D73" s="75" t="s">
        <v>102</v>
      </c>
      <c r="E73" s="76">
        <v>25500000</v>
      </c>
      <c r="F73" s="73" t="s">
        <v>4</v>
      </c>
      <c r="G73" s="77" t="s">
        <v>6</v>
      </c>
      <c r="H73" s="73" t="s">
        <v>60</v>
      </c>
      <c r="I73" s="73" t="s">
        <v>133</v>
      </c>
      <c r="J73" s="73">
        <v>5</v>
      </c>
      <c r="K73" s="78">
        <v>42767</v>
      </c>
      <c r="L73" s="79">
        <v>42779</v>
      </c>
      <c r="M73" s="80" t="s">
        <v>42</v>
      </c>
      <c r="N73" s="90" t="s">
        <v>208</v>
      </c>
      <c r="O73" s="91">
        <v>25500000</v>
      </c>
      <c r="P73" s="85">
        <f t="shared" si="0"/>
        <v>0</v>
      </c>
      <c r="Q73" s="86"/>
      <c r="R73" s="87">
        <v>1</v>
      </c>
      <c r="S73" s="87">
        <v>2</v>
      </c>
      <c r="T73" s="87">
        <v>2017</v>
      </c>
      <c r="U73" s="276" t="s">
        <v>369</v>
      </c>
    </row>
    <row r="74" spans="1:21" s="87" customFormat="1" ht="114" x14ac:dyDescent="0.45">
      <c r="A74" s="72">
        <v>24</v>
      </c>
      <c r="B74" s="73" t="s">
        <v>4</v>
      </c>
      <c r="C74" s="74" t="s">
        <v>313</v>
      </c>
      <c r="D74" s="75" t="s">
        <v>183</v>
      </c>
      <c r="E74" s="76">
        <v>0</v>
      </c>
      <c r="F74" s="73" t="s">
        <v>4</v>
      </c>
      <c r="G74" s="77" t="s">
        <v>73</v>
      </c>
      <c r="H74" s="73" t="s">
        <v>73</v>
      </c>
      <c r="I74" s="73" t="s">
        <v>73</v>
      </c>
      <c r="J74" s="73" t="s">
        <v>73</v>
      </c>
      <c r="K74" s="78"/>
      <c r="L74" s="79"/>
      <c r="M74" s="80" t="s">
        <v>42</v>
      </c>
      <c r="N74" s="81" t="s">
        <v>357</v>
      </c>
      <c r="O74" s="84"/>
      <c r="P74" s="85">
        <f t="shared" si="0"/>
        <v>0</v>
      </c>
      <c r="Q74" s="86"/>
      <c r="U74" s="88" t="s">
        <v>423</v>
      </c>
    </row>
    <row r="75" spans="1:21" s="87" customFormat="1" ht="114" x14ac:dyDescent="0.45">
      <c r="A75" s="92">
        <v>25</v>
      </c>
      <c r="B75" s="93" t="s">
        <v>4</v>
      </c>
      <c r="C75" s="94" t="s">
        <v>4</v>
      </c>
      <c r="D75" s="95" t="s">
        <v>72</v>
      </c>
      <c r="E75" s="76">
        <v>1900000</v>
      </c>
      <c r="F75" s="73" t="s">
        <v>4</v>
      </c>
      <c r="G75" s="77" t="s">
        <v>73</v>
      </c>
      <c r="H75" s="73" t="s">
        <v>73</v>
      </c>
      <c r="I75" s="73" t="s">
        <v>73</v>
      </c>
      <c r="J75" s="73" t="s">
        <v>73</v>
      </c>
      <c r="K75" s="78"/>
      <c r="L75" s="79"/>
      <c r="M75" s="101" t="s">
        <v>42</v>
      </c>
      <c r="N75" s="81" t="s">
        <v>358</v>
      </c>
      <c r="O75" s="103"/>
      <c r="P75" s="104">
        <f t="shared" si="0"/>
        <v>1900000</v>
      </c>
      <c r="Q75" s="86"/>
      <c r="U75" s="88" t="s">
        <v>590</v>
      </c>
    </row>
    <row r="76" spans="1:21" s="87" customFormat="1" ht="114" x14ac:dyDescent="0.45">
      <c r="A76" s="92">
        <v>98</v>
      </c>
      <c r="B76" s="93" t="s">
        <v>4</v>
      </c>
      <c r="C76" s="74" t="s">
        <v>313</v>
      </c>
      <c r="D76" s="95" t="s">
        <v>182</v>
      </c>
      <c r="E76" s="76">
        <v>0</v>
      </c>
      <c r="F76" s="73" t="s">
        <v>4</v>
      </c>
      <c r="G76" s="77" t="s">
        <v>73</v>
      </c>
      <c r="H76" s="73" t="s">
        <v>73</v>
      </c>
      <c r="I76" s="73" t="s">
        <v>73</v>
      </c>
      <c r="J76" s="73" t="s">
        <v>73</v>
      </c>
      <c r="K76" s="78"/>
      <c r="L76" s="79"/>
      <c r="M76" s="101" t="s">
        <v>42</v>
      </c>
      <c r="N76" s="81" t="s">
        <v>357</v>
      </c>
      <c r="O76" s="103"/>
      <c r="P76" s="104">
        <f>E76-O76</f>
        <v>0</v>
      </c>
      <c r="Q76" s="86"/>
      <c r="U76" s="88" t="s">
        <v>423</v>
      </c>
    </row>
    <row r="77" spans="1:21" s="87" customFormat="1" ht="114" x14ac:dyDescent="0.45">
      <c r="A77" s="92">
        <v>124</v>
      </c>
      <c r="B77" s="93" t="s">
        <v>4</v>
      </c>
      <c r="C77" s="94" t="s">
        <v>313</v>
      </c>
      <c r="D77" s="142" t="s">
        <v>249</v>
      </c>
      <c r="E77" s="96">
        <v>0</v>
      </c>
      <c r="F77" s="93" t="s">
        <v>4</v>
      </c>
      <c r="G77" s="97" t="s">
        <v>73</v>
      </c>
      <c r="H77" s="93" t="s">
        <v>73</v>
      </c>
      <c r="I77" s="93" t="s">
        <v>73</v>
      </c>
      <c r="J77" s="93" t="s">
        <v>73</v>
      </c>
      <c r="K77" s="99"/>
      <c r="L77" s="100"/>
      <c r="M77" s="101" t="s">
        <v>42</v>
      </c>
      <c r="N77" s="81" t="s">
        <v>315</v>
      </c>
      <c r="O77" s="103"/>
      <c r="P77" s="104">
        <f>E77-O77</f>
        <v>0</v>
      </c>
      <c r="Q77" s="86"/>
      <c r="U77" s="88" t="s">
        <v>423</v>
      </c>
    </row>
    <row r="78" spans="1:21" s="87" customFormat="1" ht="114.75" thickBot="1" x14ac:dyDescent="0.5">
      <c r="A78" s="109">
        <v>142</v>
      </c>
      <c r="B78" s="110" t="s">
        <v>4</v>
      </c>
      <c r="C78" s="111" t="s">
        <v>313</v>
      </c>
      <c r="D78" s="143" t="s">
        <v>314</v>
      </c>
      <c r="E78" s="112">
        <v>28000000</v>
      </c>
      <c r="F78" s="110" t="s">
        <v>4</v>
      </c>
      <c r="G78" s="113" t="s">
        <v>285</v>
      </c>
      <c r="H78" s="110" t="s">
        <v>60</v>
      </c>
      <c r="I78" s="110" t="s">
        <v>133</v>
      </c>
      <c r="J78" s="110">
        <v>4</v>
      </c>
      <c r="K78" s="114">
        <v>42948</v>
      </c>
      <c r="L78" s="115">
        <v>42962</v>
      </c>
      <c r="M78" s="116" t="s">
        <v>42</v>
      </c>
      <c r="N78" s="117" t="s">
        <v>450</v>
      </c>
      <c r="O78" s="118">
        <v>28000000</v>
      </c>
      <c r="P78" s="119">
        <f>E78-O78</f>
        <v>0</v>
      </c>
      <c r="Q78" s="86"/>
      <c r="R78" s="87">
        <v>1</v>
      </c>
      <c r="S78" s="87">
        <v>8</v>
      </c>
      <c r="T78" s="87">
        <v>2017</v>
      </c>
      <c r="U78" s="277" t="s">
        <v>369</v>
      </c>
    </row>
    <row r="79" spans="1:21" s="87" customFormat="1" ht="86.25" thickTop="1" x14ac:dyDescent="0.45">
      <c r="A79" s="59">
        <v>26</v>
      </c>
      <c r="B79" s="60" t="s">
        <v>1</v>
      </c>
      <c r="C79" s="144" t="s">
        <v>317</v>
      </c>
      <c r="D79" s="62" t="s">
        <v>52</v>
      </c>
      <c r="E79" s="145">
        <v>39000000</v>
      </c>
      <c r="F79" s="60" t="s">
        <v>1</v>
      </c>
      <c r="G79" s="64" t="s">
        <v>6</v>
      </c>
      <c r="H79" s="60" t="s">
        <v>60</v>
      </c>
      <c r="I79" s="60" t="s">
        <v>133</v>
      </c>
      <c r="J79" s="60">
        <v>6</v>
      </c>
      <c r="K79" s="65">
        <v>42748</v>
      </c>
      <c r="L79" s="66">
        <v>42767</v>
      </c>
      <c r="M79" s="146" t="s">
        <v>42</v>
      </c>
      <c r="N79" s="124" t="s">
        <v>209</v>
      </c>
      <c r="O79" s="125">
        <v>39000000</v>
      </c>
      <c r="P79" s="126">
        <f t="shared" si="0"/>
        <v>0</v>
      </c>
      <c r="Q79" s="86"/>
      <c r="R79" s="87">
        <v>13</v>
      </c>
      <c r="S79" s="87">
        <v>1</v>
      </c>
      <c r="T79" s="87">
        <v>2017</v>
      </c>
      <c r="U79" s="277" t="s">
        <v>369</v>
      </c>
    </row>
    <row r="80" spans="1:21" s="87" customFormat="1" ht="85.5" x14ac:dyDescent="0.45">
      <c r="A80" s="92">
        <v>27</v>
      </c>
      <c r="B80" s="73" t="s">
        <v>1</v>
      </c>
      <c r="C80" s="144" t="s">
        <v>325</v>
      </c>
      <c r="D80" s="75" t="s">
        <v>197</v>
      </c>
      <c r="E80" s="147">
        <v>25200000</v>
      </c>
      <c r="F80" s="73" t="s">
        <v>1</v>
      </c>
      <c r="G80" s="77" t="s">
        <v>6</v>
      </c>
      <c r="H80" s="73" t="s">
        <v>60</v>
      </c>
      <c r="I80" s="73" t="s">
        <v>133</v>
      </c>
      <c r="J80" s="73">
        <v>6</v>
      </c>
      <c r="K80" s="78">
        <v>42748</v>
      </c>
      <c r="L80" s="79">
        <v>42767</v>
      </c>
      <c r="M80" s="80" t="s">
        <v>42</v>
      </c>
      <c r="N80" s="90" t="s">
        <v>210</v>
      </c>
      <c r="O80" s="91">
        <v>25200000</v>
      </c>
      <c r="P80" s="85">
        <f t="shared" si="0"/>
        <v>0</v>
      </c>
      <c r="Q80" s="86"/>
      <c r="R80" s="87">
        <v>13</v>
      </c>
      <c r="S80" s="87">
        <v>1</v>
      </c>
      <c r="T80" s="87">
        <v>2017</v>
      </c>
      <c r="U80" s="277" t="s">
        <v>369</v>
      </c>
    </row>
    <row r="81" spans="1:21" s="87" customFormat="1" ht="85.5" x14ac:dyDescent="0.45">
      <c r="A81" s="59">
        <v>27</v>
      </c>
      <c r="B81" s="73" t="s">
        <v>1</v>
      </c>
      <c r="C81" s="144" t="s">
        <v>325</v>
      </c>
      <c r="D81" s="75" t="s">
        <v>326</v>
      </c>
      <c r="E81" s="76">
        <v>12600000</v>
      </c>
      <c r="F81" s="73" t="s">
        <v>1</v>
      </c>
      <c r="G81" s="77" t="s">
        <v>285</v>
      </c>
      <c r="H81" s="77" t="s">
        <v>60</v>
      </c>
      <c r="I81" s="77" t="s">
        <v>133</v>
      </c>
      <c r="J81" s="89">
        <v>3</v>
      </c>
      <c r="K81" s="78">
        <v>42979</v>
      </c>
      <c r="L81" s="79">
        <v>42987</v>
      </c>
      <c r="M81" s="80" t="s">
        <v>42</v>
      </c>
      <c r="N81" s="90" t="s">
        <v>527</v>
      </c>
      <c r="O81" s="91">
        <v>12600000</v>
      </c>
      <c r="P81" s="85">
        <f t="shared" si="0"/>
        <v>0</v>
      </c>
      <c r="Q81" s="86"/>
      <c r="R81" s="87">
        <v>1</v>
      </c>
      <c r="S81" s="87">
        <v>9</v>
      </c>
      <c r="T81" s="87">
        <v>2017</v>
      </c>
      <c r="U81" s="277" t="s">
        <v>369</v>
      </c>
    </row>
    <row r="82" spans="1:21" s="87" customFormat="1" ht="142.5" x14ac:dyDescent="0.45">
      <c r="A82" s="72">
        <v>28</v>
      </c>
      <c r="B82" s="73" t="s">
        <v>1</v>
      </c>
      <c r="C82" s="144" t="s">
        <v>35</v>
      </c>
      <c r="D82" s="75" t="s">
        <v>53</v>
      </c>
      <c r="E82" s="147">
        <v>0</v>
      </c>
      <c r="F82" s="73" t="s">
        <v>1</v>
      </c>
      <c r="G82" s="77" t="s">
        <v>73</v>
      </c>
      <c r="H82" s="77" t="s">
        <v>73</v>
      </c>
      <c r="I82" s="77" t="s">
        <v>73</v>
      </c>
      <c r="J82" s="77" t="s">
        <v>73</v>
      </c>
      <c r="K82" s="148"/>
      <c r="L82" s="77"/>
      <c r="M82" s="80" t="s">
        <v>42</v>
      </c>
      <c r="N82" s="81" t="s">
        <v>316</v>
      </c>
      <c r="O82" s="84"/>
      <c r="P82" s="85">
        <f t="shared" si="0"/>
        <v>0</v>
      </c>
      <c r="Q82" s="86"/>
      <c r="U82" s="88" t="s">
        <v>423</v>
      </c>
    </row>
    <row r="83" spans="1:21" s="87" customFormat="1" ht="114" x14ac:dyDescent="0.45">
      <c r="A83" s="72">
        <v>29</v>
      </c>
      <c r="B83" s="73" t="s">
        <v>1</v>
      </c>
      <c r="C83" s="144" t="s">
        <v>34</v>
      </c>
      <c r="D83" s="131" t="s">
        <v>184</v>
      </c>
      <c r="E83" s="147">
        <v>0</v>
      </c>
      <c r="F83" s="73" t="s">
        <v>1</v>
      </c>
      <c r="G83" s="77" t="s">
        <v>73</v>
      </c>
      <c r="H83" s="77" t="s">
        <v>73</v>
      </c>
      <c r="I83" s="77" t="s">
        <v>73</v>
      </c>
      <c r="J83" s="77" t="s">
        <v>73</v>
      </c>
      <c r="K83" s="148"/>
      <c r="L83" s="77"/>
      <c r="M83" s="80" t="s">
        <v>42</v>
      </c>
      <c r="N83" s="81" t="s">
        <v>316</v>
      </c>
      <c r="O83" s="84"/>
      <c r="P83" s="85">
        <f t="shared" si="0"/>
        <v>0</v>
      </c>
      <c r="Q83" s="86"/>
      <c r="U83" s="88" t="s">
        <v>423</v>
      </c>
    </row>
    <row r="84" spans="1:21" s="87" customFormat="1" ht="114" x14ac:dyDescent="0.45">
      <c r="A84" s="72">
        <v>30</v>
      </c>
      <c r="B84" s="73" t="s">
        <v>1</v>
      </c>
      <c r="C84" s="144" t="s">
        <v>34</v>
      </c>
      <c r="D84" s="131" t="s">
        <v>170</v>
      </c>
      <c r="E84" s="147">
        <v>0</v>
      </c>
      <c r="F84" s="73" t="s">
        <v>1</v>
      </c>
      <c r="G84" s="77" t="s">
        <v>73</v>
      </c>
      <c r="H84" s="77" t="s">
        <v>73</v>
      </c>
      <c r="I84" s="77" t="s">
        <v>73</v>
      </c>
      <c r="J84" s="77" t="s">
        <v>73</v>
      </c>
      <c r="K84" s="148"/>
      <c r="L84" s="77"/>
      <c r="M84" s="80" t="s">
        <v>42</v>
      </c>
      <c r="N84" s="81" t="s">
        <v>316</v>
      </c>
      <c r="O84" s="84"/>
      <c r="P84" s="85">
        <f t="shared" si="0"/>
        <v>0</v>
      </c>
      <c r="Q84" s="86"/>
      <c r="U84" s="88" t="s">
        <v>423</v>
      </c>
    </row>
    <row r="85" spans="1:21" s="87" customFormat="1" ht="114" x14ac:dyDescent="0.45">
      <c r="A85" s="72">
        <v>31</v>
      </c>
      <c r="B85" s="73" t="s">
        <v>1</v>
      </c>
      <c r="C85" s="144" t="s">
        <v>34</v>
      </c>
      <c r="D85" s="75" t="s">
        <v>171</v>
      </c>
      <c r="E85" s="147">
        <v>0</v>
      </c>
      <c r="F85" s="73" t="s">
        <v>1</v>
      </c>
      <c r="G85" s="77" t="s">
        <v>73</v>
      </c>
      <c r="H85" s="77" t="s">
        <v>73</v>
      </c>
      <c r="I85" s="77" t="s">
        <v>73</v>
      </c>
      <c r="J85" s="77" t="s">
        <v>73</v>
      </c>
      <c r="K85" s="148"/>
      <c r="L85" s="77"/>
      <c r="M85" s="80" t="s">
        <v>42</v>
      </c>
      <c r="N85" s="81" t="s">
        <v>316</v>
      </c>
      <c r="O85" s="84"/>
      <c r="P85" s="85">
        <f t="shared" si="0"/>
        <v>0</v>
      </c>
      <c r="Q85" s="86"/>
      <c r="U85" s="88" t="s">
        <v>423</v>
      </c>
    </row>
    <row r="86" spans="1:21" s="87" customFormat="1" ht="85.5" x14ac:dyDescent="0.45">
      <c r="A86" s="72">
        <v>32</v>
      </c>
      <c r="B86" s="73" t="s">
        <v>1</v>
      </c>
      <c r="C86" s="73" t="s">
        <v>1</v>
      </c>
      <c r="D86" s="75" t="s">
        <v>72</v>
      </c>
      <c r="E86" s="76">
        <f>8500000+15000000+3000000</f>
        <v>26500000</v>
      </c>
      <c r="F86" s="73" t="s">
        <v>1</v>
      </c>
      <c r="G86" s="77" t="s">
        <v>6</v>
      </c>
      <c r="H86" s="77" t="s">
        <v>73</v>
      </c>
      <c r="I86" s="77" t="s">
        <v>73</v>
      </c>
      <c r="J86" s="89">
        <v>11</v>
      </c>
      <c r="K86" s="78"/>
      <c r="L86" s="79"/>
      <c r="M86" s="80" t="s">
        <v>42</v>
      </c>
      <c r="N86" s="81" t="s">
        <v>211</v>
      </c>
      <c r="O86" s="84"/>
      <c r="P86" s="85">
        <f t="shared" si="0"/>
        <v>26500000</v>
      </c>
      <c r="Q86" s="86"/>
      <c r="U86" s="88" t="s">
        <v>590</v>
      </c>
    </row>
    <row r="87" spans="1:21" s="87" customFormat="1" ht="142.5" x14ac:dyDescent="0.45">
      <c r="A87" s="59">
        <v>99</v>
      </c>
      <c r="B87" s="60" t="s">
        <v>1</v>
      </c>
      <c r="C87" s="149" t="s">
        <v>35</v>
      </c>
      <c r="D87" s="62" t="s">
        <v>173</v>
      </c>
      <c r="E87" s="147">
        <v>0</v>
      </c>
      <c r="F87" s="73" t="s">
        <v>1</v>
      </c>
      <c r="G87" s="77" t="s">
        <v>73</v>
      </c>
      <c r="H87" s="77" t="s">
        <v>73</v>
      </c>
      <c r="I87" s="77" t="s">
        <v>73</v>
      </c>
      <c r="J87" s="77" t="s">
        <v>73</v>
      </c>
      <c r="K87" s="148"/>
      <c r="L87" s="77"/>
      <c r="M87" s="67" t="s">
        <v>42</v>
      </c>
      <c r="N87" s="81" t="s">
        <v>316</v>
      </c>
      <c r="O87" s="141"/>
      <c r="P87" s="126">
        <f t="shared" si="0"/>
        <v>0</v>
      </c>
      <c r="Q87" s="86"/>
      <c r="U87" s="88" t="s">
        <v>423</v>
      </c>
    </row>
    <row r="88" spans="1:21" s="87" customFormat="1" ht="114" x14ac:dyDescent="0.45">
      <c r="A88" s="72">
        <v>100</v>
      </c>
      <c r="B88" s="73" t="s">
        <v>1</v>
      </c>
      <c r="C88" s="144" t="s">
        <v>34</v>
      </c>
      <c r="D88" s="75" t="s">
        <v>172</v>
      </c>
      <c r="E88" s="147">
        <v>0</v>
      </c>
      <c r="F88" s="73" t="s">
        <v>1</v>
      </c>
      <c r="G88" s="77" t="s">
        <v>73</v>
      </c>
      <c r="H88" s="77" t="s">
        <v>73</v>
      </c>
      <c r="I88" s="77" t="s">
        <v>73</v>
      </c>
      <c r="J88" s="77" t="s">
        <v>73</v>
      </c>
      <c r="K88" s="148"/>
      <c r="L88" s="77"/>
      <c r="M88" s="80" t="s">
        <v>42</v>
      </c>
      <c r="N88" s="81" t="s">
        <v>316</v>
      </c>
      <c r="O88" s="84"/>
      <c r="P88" s="85">
        <f t="shared" si="0"/>
        <v>0</v>
      </c>
      <c r="Q88" s="86"/>
      <c r="U88" s="88" t="s">
        <v>423</v>
      </c>
    </row>
    <row r="89" spans="1:21" s="87" customFormat="1" ht="114" x14ac:dyDescent="0.45">
      <c r="A89" s="92">
        <v>101</v>
      </c>
      <c r="B89" s="73" t="s">
        <v>1</v>
      </c>
      <c r="C89" s="144" t="s">
        <v>317</v>
      </c>
      <c r="D89" s="75" t="s">
        <v>219</v>
      </c>
      <c r="E89" s="76">
        <v>24000000</v>
      </c>
      <c r="F89" s="73" t="s">
        <v>1</v>
      </c>
      <c r="G89" s="77" t="s">
        <v>6</v>
      </c>
      <c r="H89" s="77" t="s">
        <v>60</v>
      </c>
      <c r="I89" s="77" t="s">
        <v>133</v>
      </c>
      <c r="J89" s="89">
        <v>9</v>
      </c>
      <c r="K89" s="78">
        <v>42800</v>
      </c>
      <c r="L89" s="79">
        <v>42807</v>
      </c>
      <c r="M89" s="80" t="s">
        <v>42</v>
      </c>
      <c r="N89" s="90" t="s">
        <v>596</v>
      </c>
      <c r="O89" s="91">
        <v>24000000</v>
      </c>
      <c r="P89" s="85">
        <f t="shared" ref="P89:P110" si="1">E89-O89</f>
        <v>0</v>
      </c>
      <c r="Q89" s="86"/>
      <c r="R89" s="87">
        <v>6</v>
      </c>
      <c r="S89" s="87">
        <v>3</v>
      </c>
      <c r="T89" s="87">
        <v>2017</v>
      </c>
      <c r="U89" s="277" t="s">
        <v>369</v>
      </c>
    </row>
    <row r="90" spans="1:21" s="87" customFormat="1" ht="85.5" x14ac:dyDescent="0.45">
      <c r="A90" s="59">
        <v>101</v>
      </c>
      <c r="B90" s="73" t="s">
        <v>1</v>
      </c>
      <c r="C90" s="144" t="s">
        <v>317</v>
      </c>
      <c r="D90" s="75" t="s">
        <v>327</v>
      </c>
      <c r="E90" s="76">
        <v>8000000</v>
      </c>
      <c r="F90" s="73" t="s">
        <v>1</v>
      </c>
      <c r="G90" s="77" t="s">
        <v>285</v>
      </c>
      <c r="H90" s="77" t="s">
        <v>60</v>
      </c>
      <c r="I90" s="77" t="s">
        <v>133</v>
      </c>
      <c r="J90" s="77">
        <v>2</v>
      </c>
      <c r="K90" s="78">
        <v>43033</v>
      </c>
      <c r="L90" s="79">
        <v>43040</v>
      </c>
      <c r="M90" s="80" t="s">
        <v>42</v>
      </c>
      <c r="N90" s="90" t="s">
        <v>635</v>
      </c>
      <c r="O90" s="91">
        <v>7866667</v>
      </c>
      <c r="P90" s="85">
        <f t="shared" si="1"/>
        <v>133333</v>
      </c>
      <c r="Q90" s="86"/>
      <c r="R90" s="87">
        <v>25</v>
      </c>
      <c r="S90" s="87">
        <v>10</v>
      </c>
      <c r="T90" s="87">
        <v>2017</v>
      </c>
      <c r="U90" s="88" t="s">
        <v>369</v>
      </c>
    </row>
    <row r="91" spans="1:21" s="87" customFormat="1" ht="85.5" x14ac:dyDescent="0.45">
      <c r="A91" s="132">
        <v>143</v>
      </c>
      <c r="B91" s="73" t="s">
        <v>1</v>
      </c>
      <c r="C91" s="144" t="s">
        <v>317</v>
      </c>
      <c r="D91" s="75" t="s">
        <v>318</v>
      </c>
      <c r="E91" s="76">
        <f>300000000+145000000-75000000</f>
        <v>370000000</v>
      </c>
      <c r="F91" s="73" t="s">
        <v>1</v>
      </c>
      <c r="G91" s="77" t="s">
        <v>285</v>
      </c>
      <c r="H91" s="77" t="s">
        <v>319</v>
      </c>
      <c r="I91" s="77" t="s">
        <v>471</v>
      </c>
      <c r="J91" s="89">
        <v>1</v>
      </c>
      <c r="K91" s="100">
        <v>43070</v>
      </c>
      <c r="L91" s="100">
        <v>43074</v>
      </c>
      <c r="M91" s="80" t="s">
        <v>42</v>
      </c>
      <c r="N91" s="90" t="s">
        <v>686</v>
      </c>
      <c r="O91" s="91">
        <v>292909688</v>
      </c>
      <c r="P91" s="85">
        <f t="shared" si="1"/>
        <v>77090312</v>
      </c>
      <c r="Q91" s="86" t="s">
        <v>421</v>
      </c>
      <c r="R91" s="87">
        <v>15</v>
      </c>
      <c r="S91" s="87">
        <v>9</v>
      </c>
      <c r="T91" s="87">
        <v>2017</v>
      </c>
      <c r="U91" s="277" t="s">
        <v>369</v>
      </c>
    </row>
    <row r="92" spans="1:21" s="87" customFormat="1" ht="114" x14ac:dyDescent="0.45">
      <c r="A92" s="92">
        <v>144</v>
      </c>
      <c r="B92" s="73" t="s">
        <v>1</v>
      </c>
      <c r="C92" s="144" t="s">
        <v>317</v>
      </c>
      <c r="D92" s="94" t="s">
        <v>390</v>
      </c>
      <c r="E92" s="96">
        <v>55000000</v>
      </c>
      <c r="F92" s="93" t="s">
        <v>1</v>
      </c>
      <c r="G92" s="97" t="s">
        <v>285</v>
      </c>
      <c r="H92" s="93" t="s">
        <v>60</v>
      </c>
      <c r="I92" s="93" t="s">
        <v>389</v>
      </c>
      <c r="J92" s="93">
        <v>3</v>
      </c>
      <c r="K92" s="100">
        <v>42958</v>
      </c>
      <c r="L92" s="100">
        <v>43008</v>
      </c>
      <c r="M92" s="80" t="s">
        <v>44</v>
      </c>
      <c r="N92" s="90" t="s">
        <v>518</v>
      </c>
      <c r="O92" s="91">
        <v>55000000</v>
      </c>
      <c r="P92" s="85">
        <f t="shared" si="1"/>
        <v>0</v>
      </c>
      <c r="Q92" s="86" t="s">
        <v>420</v>
      </c>
      <c r="R92" s="87">
        <v>11</v>
      </c>
      <c r="S92" s="87">
        <v>8</v>
      </c>
      <c r="T92" s="87">
        <v>2017</v>
      </c>
      <c r="U92" s="277" t="s">
        <v>369</v>
      </c>
    </row>
    <row r="93" spans="1:21" s="87" customFormat="1" ht="114" x14ac:dyDescent="0.45">
      <c r="A93" s="92">
        <v>144</v>
      </c>
      <c r="B93" s="73" t="s">
        <v>19</v>
      </c>
      <c r="C93" s="144" t="s">
        <v>286</v>
      </c>
      <c r="D93" s="94" t="s">
        <v>661</v>
      </c>
      <c r="E93" s="96">
        <v>21830134</v>
      </c>
      <c r="F93" s="73" t="s">
        <v>19</v>
      </c>
      <c r="G93" s="97" t="s">
        <v>285</v>
      </c>
      <c r="H93" s="93" t="s">
        <v>60</v>
      </c>
      <c r="I93" s="93" t="s">
        <v>389</v>
      </c>
      <c r="J93" s="93" t="s">
        <v>73</v>
      </c>
      <c r="K93" s="100">
        <v>43048</v>
      </c>
      <c r="L93" s="100">
        <v>43054</v>
      </c>
      <c r="M93" s="80" t="s">
        <v>42</v>
      </c>
      <c r="N93" s="90" t="s">
        <v>518</v>
      </c>
      <c r="O93" s="91">
        <v>21830134</v>
      </c>
      <c r="P93" s="85">
        <f t="shared" si="1"/>
        <v>0</v>
      </c>
      <c r="Q93" s="86"/>
      <c r="R93" s="87">
        <v>8</v>
      </c>
      <c r="S93" s="87">
        <v>11</v>
      </c>
      <c r="T93" s="87">
        <v>2017</v>
      </c>
      <c r="U93" s="277" t="s">
        <v>369</v>
      </c>
    </row>
    <row r="94" spans="1:21" s="87" customFormat="1" ht="85.5" x14ac:dyDescent="0.45">
      <c r="A94" s="92">
        <v>145</v>
      </c>
      <c r="B94" s="73" t="s">
        <v>1</v>
      </c>
      <c r="C94" s="144" t="s">
        <v>317</v>
      </c>
      <c r="D94" s="75" t="s">
        <v>321</v>
      </c>
      <c r="E94" s="76">
        <v>0</v>
      </c>
      <c r="F94" s="73" t="s">
        <v>1</v>
      </c>
      <c r="G94" s="77" t="s">
        <v>285</v>
      </c>
      <c r="H94" s="77" t="s">
        <v>320</v>
      </c>
      <c r="I94" s="77" t="s">
        <v>308</v>
      </c>
      <c r="J94" s="89">
        <v>2.5</v>
      </c>
      <c r="K94" s="100">
        <v>42962</v>
      </c>
      <c r="L94" s="100">
        <v>43010</v>
      </c>
      <c r="M94" s="80" t="s">
        <v>42</v>
      </c>
      <c r="N94" s="81" t="s">
        <v>455</v>
      </c>
      <c r="O94" s="84"/>
      <c r="P94" s="85">
        <f t="shared" si="1"/>
        <v>0</v>
      </c>
      <c r="Q94" s="86" t="s">
        <v>421</v>
      </c>
      <c r="R94" s="87">
        <v>15</v>
      </c>
      <c r="S94" s="87">
        <v>8</v>
      </c>
      <c r="T94" s="87">
        <v>2017</v>
      </c>
      <c r="U94" s="88" t="s">
        <v>423</v>
      </c>
    </row>
    <row r="95" spans="1:21" s="87" customFormat="1" ht="85.5" x14ac:dyDescent="0.45">
      <c r="A95" s="92">
        <v>146</v>
      </c>
      <c r="B95" s="73" t="s">
        <v>1</v>
      </c>
      <c r="C95" s="144" t="s">
        <v>317</v>
      </c>
      <c r="D95" s="94" t="s">
        <v>388</v>
      </c>
      <c r="E95" s="76">
        <v>70000000</v>
      </c>
      <c r="F95" s="73" t="s">
        <v>1</v>
      </c>
      <c r="G95" s="77" t="s">
        <v>285</v>
      </c>
      <c r="H95" s="77" t="s">
        <v>110</v>
      </c>
      <c r="I95" s="77" t="s">
        <v>295</v>
      </c>
      <c r="J95" s="89">
        <v>3.5</v>
      </c>
      <c r="K95" s="100">
        <v>42958</v>
      </c>
      <c r="L95" s="100">
        <v>43018</v>
      </c>
      <c r="M95" s="80" t="s">
        <v>42</v>
      </c>
      <c r="N95" s="90" t="s">
        <v>537</v>
      </c>
      <c r="O95" s="91">
        <v>69656650</v>
      </c>
      <c r="P95" s="85">
        <f t="shared" si="1"/>
        <v>343350</v>
      </c>
      <c r="Q95" s="86" t="s">
        <v>422</v>
      </c>
      <c r="R95" s="87">
        <v>11</v>
      </c>
      <c r="S95" s="87">
        <v>8</v>
      </c>
      <c r="T95" s="87">
        <v>2017</v>
      </c>
      <c r="U95" s="277" t="s">
        <v>369</v>
      </c>
    </row>
    <row r="96" spans="1:21" s="87" customFormat="1" ht="85.5" x14ac:dyDescent="0.45">
      <c r="A96" s="92">
        <v>147</v>
      </c>
      <c r="B96" s="73" t="s">
        <v>1</v>
      </c>
      <c r="C96" s="144" t="s">
        <v>317</v>
      </c>
      <c r="D96" s="75" t="s">
        <v>322</v>
      </c>
      <c r="E96" s="76">
        <v>35000000</v>
      </c>
      <c r="F96" s="73" t="s">
        <v>1</v>
      </c>
      <c r="G96" s="77" t="s">
        <v>285</v>
      </c>
      <c r="H96" s="77" t="s">
        <v>60</v>
      </c>
      <c r="I96" s="77" t="s">
        <v>133</v>
      </c>
      <c r="J96" s="89">
        <v>5</v>
      </c>
      <c r="K96" s="78">
        <v>42939</v>
      </c>
      <c r="L96" s="79">
        <v>42948</v>
      </c>
      <c r="M96" s="80" t="s">
        <v>42</v>
      </c>
      <c r="N96" s="90" t="s">
        <v>400</v>
      </c>
      <c r="O96" s="91">
        <v>28000000</v>
      </c>
      <c r="P96" s="85">
        <f t="shared" si="1"/>
        <v>7000000</v>
      </c>
      <c r="Q96" s="86"/>
      <c r="R96" s="87">
        <v>23</v>
      </c>
      <c r="S96" s="87">
        <v>7</v>
      </c>
      <c r="T96" s="87">
        <v>2017</v>
      </c>
      <c r="U96" s="277" t="s">
        <v>369</v>
      </c>
    </row>
    <row r="97" spans="1:21" s="87" customFormat="1" ht="85.5" x14ac:dyDescent="0.45">
      <c r="A97" s="92">
        <v>147</v>
      </c>
      <c r="B97" s="73" t="s">
        <v>1</v>
      </c>
      <c r="C97" s="144" t="s">
        <v>317</v>
      </c>
      <c r="D97" s="75" t="s">
        <v>656</v>
      </c>
      <c r="E97" s="96">
        <v>7000000</v>
      </c>
      <c r="F97" s="73" t="s">
        <v>1</v>
      </c>
      <c r="G97" s="77" t="s">
        <v>285</v>
      </c>
      <c r="H97" s="77" t="s">
        <v>60</v>
      </c>
      <c r="I97" s="77" t="s">
        <v>133</v>
      </c>
      <c r="J97" s="98">
        <v>1</v>
      </c>
      <c r="K97" s="99">
        <v>43062</v>
      </c>
      <c r="L97" s="100">
        <v>43070</v>
      </c>
      <c r="M97" s="80" t="s">
        <v>42</v>
      </c>
      <c r="N97" s="150"/>
      <c r="O97" s="107"/>
      <c r="P97" s="200">
        <f t="shared" si="1"/>
        <v>7000000</v>
      </c>
      <c r="Q97" s="86"/>
      <c r="R97" s="87">
        <v>23</v>
      </c>
      <c r="S97" s="87">
        <v>11</v>
      </c>
      <c r="T97" s="87">
        <v>2017</v>
      </c>
      <c r="U97" s="277" t="s">
        <v>370</v>
      </c>
    </row>
    <row r="98" spans="1:21" s="87" customFormat="1" ht="85.5" x14ac:dyDescent="0.45">
      <c r="A98" s="92">
        <v>148</v>
      </c>
      <c r="B98" s="73" t="s">
        <v>1</v>
      </c>
      <c r="C98" s="144" t="s">
        <v>324</v>
      </c>
      <c r="D98" s="75" t="s">
        <v>356</v>
      </c>
      <c r="E98" s="96">
        <f>220253802+9000000-26000000-26000000+70000000-20000000+15000000-170000000-6000000-15000000-51253802</f>
        <v>0</v>
      </c>
      <c r="F98" s="73" t="s">
        <v>1</v>
      </c>
      <c r="G98" s="77" t="s">
        <v>285</v>
      </c>
      <c r="H98" s="93" t="s">
        <v>110</v>
      </c>
      <c r="I98" s="93" t="s">
        <v>295</v>
      </c>
      <c r="J98" s="93" t="s">
        <v>73</v>
      </c>
      <c r="K98" s="93" t="s">
        <v>73</v>
      </c>
      <c r="L98" s="93" t="s">
        <v>73</v>
      </c>
      <c r="M98" s="80" t="s">
        <v>42</v>
      </c>
      <c r="N98" s="81" t="s">
        <v>323</v>
      </c>
      <c r="O98" s="84"/>
      <c r="P98" s="85">
        <f t="shared" si="1"/>
        <v>0</v>
      </c>
      <c r="Q98" s="86" t="s">
        <v>421</v>
      </c>
      <c r="R98" s="87">
        <v>15</v>
      </c>
      <c r="S98" s="87">
        <v>10</v>
      </c>
      <c r="T98" s="87">
        <v>2017</v>
      </c>
      <c r="U98" s="88" t="s">
        <v>423</v>
      </c>
    </row>
    <row r="99" spans="1:21" s="87" customFormat="1" ht="85.5" x14ac:dyDescent="0.45">
      <c r="A99" s="92">
        <v>149</v>
      </c>
      <c r="B99" s="73" t="s">
        <v>1</v>
      </c>
      <c r="C99" s="144" t="s">
        <v>324</v>
      </c>
      <c r="D99" s="75" t="s">
        <v>456</v>
      </c>
      <c r="E99" s="76">
        <f>90000000+60000000</f>
        <v>150000000</v>
      </c>
      <c r="F99" s="73" t="s">
        <v>1</v>
      </c>
      <c r="G99" s="77" t="s">
        <v>285</v>
      </c>
      <c r="H99" s="77" t="s">
        <v>320</v>
      </c>
      <c r="I99" s="77" t="s">
        <v>308</v>
      </c>
      <c r="J99" s="89">
        <v>2</v>
      </c>
      <c r="K99" s="100">
        <v>42993</v>
      </c>
      <c r="L99" s="100">
        <v>43040</v>
      </c>
      <c r="M99" s="80" t="s">
        <v>42</v>
      </c>
      <c r="N99" s="176" t="s">
        <v>689</v>
      </c>
      <c r="O99" s="168">
        <v>150000000</v>
      </c>
      <c r="P99" s="85">
        <f t="shared" si="1"/>
        <v>0</v>
      </c>
      <c r="Q99" s="86" t="s">
        <v>421</v>
      </c>
      <c r="R99" s="87">
        <v>15</v>
      </c>
      <c r="S99" s="87">
        <v>9</v>
      </c>
      <c r="T99" s="87">
        <v>2017</v>
      </c>
      <c r="U99" s="88" t="s">
        <v>369</v>
      </c>
    </row>
    <row r="100" spans="1:21" s="87" customFormat="1" ht="88.5" customHeight="1" x14ac:dyDescent="0.45">
      <c r="A100" s="92">
        <v>149</v>
      </c>
      <c r="B100" s="73" t="s">
        <v>1</v>
      </c>
      <c r="C100" s="144" t="s">
        <v>324</v>
      </c>
      <c r="D100" s="95" t="s">
        <v>683</v>
      </c>
      <c r="E100" s="96">
        <v>73000000</v>
      </c>
      <c r="F100" s="73" t="s">
        <v>1</v>
      </c>
      <c r="G100" s="77" t="s">
        <v>285</v>
      </c>
      <c r="H100" s="73" t="s">
        <v>112</v>
      </c>
      <c r="I100" s="77" t="s">
        <v>308</v>
      </c>
      <c r="J100" s="98">
        <v>1</v>
      </c>
      <c r="K100" s="100">
        <v>43084</v>
      </c>
      <c r="L100" s="100">
        <v>43084</v>
      </c>
      <c r="M100" s="80" t="s">
        <v>42</v>
      </c>
      <c r="N100" s="81"/>
      <c r="O100" s="84"/>
      <c r="P100" s="85">
        <f t="shared" si="1"/>
        <v>73000000</v>
      </c>
      <c r="Q100" s="86"/>
      <c r="R100" s="87">
        <v>15</v>
      </c>
      <c r="S100" s="87">
        <v>12</v>
      </c>
      <c r="T100" s="87">
        <v>2017</v>
      </c>
      <c r="U100" s="88" t="s">
        <v>370</v>
      </c>
    </row>
    <row r="101" spans="1:21" s="87" customFormat="1" ht="85.5" x14ac:dyDescent="0.45">
      <c r="A101" s="92">
        <v>150</v>
      </c>
      <c r="B101" s="73" t="s">
        <v>1</v>
      </c>
      <c r="C101" s="144" t="s">
        <v>324</v>
      </c>
      <c r="D101" s="94" t="s">
        <v>391</v>
      </c>
      <c r="E101" s="96">
        <f>6500000*4</f>
        <v>26000000</v>
      </c>
      <c r="F101" s="93" t="s">
        <v>1</v>
      </c>
      <c r="G101" s="97" t="s">
        <v>285</v>
      </c>
      <c r="H101" s="93" t="s">
        <v>60</v>
      </c>
      <c r="I101" s="93" t="s">
        <v>133</v>
      </c>
      <c r="J101" s="93">
        <v>4</v>
      </c>
      <c r="K101" s="100">
        <v>42969</v>
      </c>
      <c r="L101" s="100">
        <v>42979</v>
      </c>
      <c r="M101" s="80" t="s">
        <v>42</v>
      </c>
      <c r="N101" s="90" t="s">
        <v>449</v>
      </c>
      <c r="O101" s="91">
        <v>26000000</v>
      </c>
      <c r="P101" s="85">
        <f t="shared" si="1"/>
        <v>0</v>
      </c>
      <c r="Q101" s="86"/>
      <c r="R101" s="87">
        <v>22</v>
      </c>
      <c r="S101" s="87">
        <v>8</v>
      </c>
      <c r="T101" s="87">
        <v>2017</v>
      </c>
      <c r="U101" s="277" t="s">
        <v>369</v>
      </c>
    </row>
    <row r="102" spans="1:21" s="87" customFormat="1" ht="85.5" x14ac:dyDescent="0.45">
      <c r="A102" s="92">
        <v>151</v>
      </c>
      <c r="B102" s="93" t="s">
        <v>1</v>
      </c>
      <c r="C102" s="151" t="s">
        <v>325</v>
      </c>
      <c r="D102" s="94" t="s">
        <v>392</v>
      </c>
      <c r="E102" s="96">
        <f>10000000-10000000</f>
        <v>0</v>
      </c>
      <c r="F102" s="93" t="s">
        <v>1</v>
      </c>
      <c r="G102" s="97" t="s">
        <v>285</v>
      </c>
      <c r="H102" s="97" t="s">
        <v>60</v>
      </c>
      <c r="I102" s="97" t="s">
        <v>393</v>
      </c>
      <c r="J102" s="97">
        <v>4</v>
      </c>
      <c r="K102" s="100">
        <v>42977</v>
      </c>
      <c r="L102" s="100">
        <v>42993</v>
      </c>
      <c r="M102" s="101" t="s">
        <v>42</v>
      </c>
      <c r="N102" s="102" t="s">
        <v>323</v>
      </c>
      <c r="O102" s="103"/>
      <c r="P102" s="104">
        <f t="shared" si="1"/>
        <v>0</v>
      </c>
      <c r="Q102" s="86" t="s">
        <v>420</v>
      </c>
      <c r="R102" s="87">
        <v>30</v>
      </c>
      <c r="S102" s="87">
        <v>8</v>
      </c>
      <c r="T102" s="87">
        <v>2017</v>
      </c>
      <c r="U102" s="88" t="s">
        <v>423</v>
      </c>
    </row>
    <row r="103" spans="1:21" s="87" customFormat="1" ht="94.5" customHeight="1" x14ac:dyDescent="0.45">
      <c r="A103" s="72">
        <v>171</v>
      </c>
      <c r="B103" s="93" t="s">
        <v>1</v>
      </c>
      <c r="C103" s="93" t="s">
        <v>324</v>
      </c>
      <c r="D103" s="94" t="s">
        <v>394</v>
      </c>
      <c r="E103" s="96">
        <v>26000000</v>
      </c>
      <c r="F103" s="93" t="s">
        <v>1</v>
      </c>
      <c r="G103" s="97" t="s">
        <v>285</v>
      </c>
      <c r="H103" s="93" t="s">
        <v>60</v>
      </c>
      <c r="I103" s="93" t="s">
        <v>133</v>
      </c>
      <c r="J103" s="93">
        <v>4</v>
      </c>
      <c r="K103" s="100">
        <v>42962</v>
      </c>
      <c r="L103" s="100">
        <v>42979</v>
      </c>
      <c r="M103" s="101" t="s">
        <v>42</v>
      </c>
      <c r="N103" s="90" t="s">
        <v>444</v>
      </c>
      <c r="O103" s="91">
        <v>26000000</v>
      </c>
      <c r="P103" s="104">
        <f t="shared" si="1"/>
        <v>0</v>
      </c>
      <c r="Q103" s="86"/>
      <c r="R103" s="87">
        <v>15</v>
      </c>
      <c r="S103" s="87">
        <v>8</v>
      </c>
      <c r="T103" s="87">
        <v>2017</v>
      </c>
      <c r="U103" s="277" t="s">
        <v>369</v>
      </c>
    </row>
    <row r="104" spans="1:21" s="87" customFormat="1" ht="94.5" customHeight="1" x14ac:dyDescent="0.45">
      <c r="A104" s="92">
        <v>172</v>
      </c>
      <c r="B104" s="93" t="s">
        <v>1</v>
      </c>
      <c r="C104" s="93" t="s">
        <v>324</v>
      </c>
      <c r="D104" s="74" t="s">
        <v>395</v>
      </c>
      <c r="E104" s="76">
        <f>26000000-8000000</f>
        <v>18000000</v>
      </c>
      <c r="F104" s="73" t="s">
        <v>1</v>
      </c>
      <c r="G104" s="77" t="s">
        <v>285</v>
      </c>
      <c r="H104" s="73" t="s">
        <v>60</v>
      </c>
      <c r="I104" s="73" t="s">
        <v>133</v>
      </c>
      <c r="J104" s="73">
        <v>4</v>
      </c>
      <c r="K104" s="79">
        <v>42962</v>
      </c>
      <c r="L104" s="79">
        <v>42979</v>
      </c>
      <c r="M104" s="75" t="s">
        <v>42</v>
      </c>
      <c r="N104" s="90" t="s">
        <v>451</v>
      </c>
      <c r="O104" s="91">
        <v>18000000</v>
      </c>
      <c r="P104" s="85">
        <f>E104-O104</f>
        <v>0</v>
      </c>
      <c r="Q104" s="86"/>
      <c r="R104" s="87">
        <v>15</v>
      </c>
      <c r="S104" s="87">
        <v>8</v>
      </c>
      <c r="T104" s="87">
        <v>2017</v>
      </c>
      <c r="U104" s="277" t="s">
        <v>369</v>
      </c>
    </row>
    <row r="105" spans="1:21" s="87" customFormat="1" ht="105" customHeight="1" x14ac:dyDescent="0.45">
      <c r="A105" s="72">
        <v>173</v>
      </c>
      <c r="B105" s="73" t="s">
        <v>1</v>
      </c>
      <c r="C105" s="73" t="s">
        <v>317</v>
      </c>
      <c r="D105" s="74" t="s">
        <v>396</v>
      </c>
      <c r="E105" s="76">
        <f>20000000</f>
        <v>20000000</v>
      </c>
      <c r="F105" s="73" t="s">
        <v>1</v>
      </c>
      <c r="G105" s="77" t="s">
        <v>285</v>
      </c>
      <c r="H105" s="77" t="s">
        <v>70</v>
      </c>
      <c r="I105" s="77" t="s">
        <v>397</v>
      </c>
      <c r="J105" s="89">
        <v>1</v>
      </c>
      <c r="K105" s="100">
        <v>43070</v>
      </c>
      <c r="L105" s="100">
        <v>43074</v>
      </c>
      <c r="M105" s="75" t="s">
        <v>42</v>
      </c>
      <c r="N105" s="90" t="s">
        <v>687</v>
      </c>
      <c r="O105" s="91">
        <v>20000000</v>
      </c>
      <c r="P105" s="85">
        <f t="shared" si="1"/>
        <v>0</v>
      </c>
      <c r="Q105" s="86" t="s">
        <v>421</v>
      </c>
      <c r="R105" s="87">
        <v>8</v>
      </c>
      <c r="S105" s="87">
        <v>9</v>
      </c>
      <c r="T105" s="87">
        <v>2017</v>
      </c>
      <c r="U105" s="277" t="s">
        <v>369</v>
      </c>
    </row>
    <row r="106" spans="1:21" s="87" customFormat="1" ht="105" customHeight="1" x14ac:dyDescent="0.45">
      <c r="A106" s="72">
        <v>173</v>
      </c>
      <c r="B106" s="73" t="s">
        <v>1</v>
      </c>
      <c r="C106" s="73" t="s">
        <v>317</v>
      </c>
      <c r="D106" s="74" t="s">
        <v>682</v>
      </c>
      <c r="E106" s="96">
        <v>7200000</v>
      </c>
      <c r="F106" s="73" t="s">
        <v>1</v>
      </c>
      <c r="G106" s="77" t="s">
        <v>285</v>
      </c>
      <c r="H106" s="73" t="s">
        <v>112</v>
      </c>
      <c r="I106" s="77" t="s">
        <v>397</v>
      </c>
      <c r="J106" s="98">
        <v>1</v>
      </c>
      <c r="K106" s="100">
        <v>43084</v>
      </c>
      <c r="L106" s="100">
        <v>43084</v>
      </c>
      <c r="M106" s="75" t="s">
        <v>42</v>
      </c>
      <c r="N106" s="102"/>
      <c r="O106" s="103"/>
      <c r="P106" s="85">
        <f t="shared" si="1"/>
        <v>7200000</v>
      </c>
      <c r="Q106" s="86"/>
      <c r="R106" s="87">
        <v>15</v>
      </c>
      <c r="S106" s="87">
        <v>12</v>
      </c>
      <c r="T106" s="87">
        <v>2017</v>
      </c>
      <c r="U106" s="88" t="s">
        <v>370</v>
      </c>
    </row>
    <row r="107" spans="1:21" s="87" customFormat="1" ht="105" customHeight="1" x14ac:dyDescent="0.45">
      <c r="A107" s="92">
        <v>182</v>
      </c>
      <c r="B107" s="93" t="s">
        <v>1</v>
      </c>
      <c r="C107" s="93" t="s">
        <v>317</v>
      </c>
      <c r="D107" s="94" t="s">
        <v>469</v>
      </c>
      <c r="E107" s="96">
        <f>170000000-170000000</f>
        <v>0</v>
      </c>
      <c r="F107" s="93" t="s">
        <v>1</v>
      </c>
      <c r="G107" s="97" t="s">
        <v>285</v>
      </c>
      <c r="H107" s="93" t="s">
        <v>110</v>
      </c>
      <c r="I107" s="93" t="s">
        <v>295</v>
      </c>
      <c r="J107" s="93" t="s">
        <v>73</v>
      </c>
      <c r="K107" s="100" t="s">
        <v>73</v>
      </c>
      <c r="L107" s="100" t="s">
        <v>73</v>
      </c>
      <c r="M107" s="101" t="s">
        <v>42</v>
      </c>
      <c r="N107" s="102"/>
      <c r="O107" s="103"/>
      <c r="P107" s="104">
        <f t="shared" si="1"/>
        <v>0</v>
      </c>
      <c r="Q107" s="86"/>
      <c r="R107" s="87">
        <v>30</v>
      </c>
      <c r="S107" s="87">
        <v>9</v>
      </c>
      <c r="T107" s="87">
        <v>2017</v>
      </c>
      <c r="U107" s="88" t="s">
        <v>423</v>
      </c>
    </row>
    <row r="108" spans="1:21" s="87" customFormat="1" ht="105" customHeight="1" x14ac:dyDescent="0.45">
      <c r="A108" s="92">
        <v>185</v>
      </c>
      <c r="B108" s="93" t="s">
        <v>1</v>
      </c>
      <c r="C108" s="93" t="s">
        <v>324</v>
      </c>
      <c r="D108" s="94" t="s">
        <v>485</v>
      </c>
      <c r="E108" s="96">
        <v>6000000</v>
      </c>
      <c r="F108" s="93" t="s">
        <v>1</v>
      </c>
      <c r="G108" s="97" t="s">
        <v>285</v>
      </c>
      <c r="H108" s="93" t="s">
        <v>60</v>
      </c>
      <c r="I108" s="93" t="s">
        <v>133</v>
      </c>
      <c r="J108" s="93">
        <v>2.5</v>
      </c>
      <c r="K108" s="100">
        <v>43010</v>
      </c>
      <c r="L108" s="100">
        <v>43017</v>
      </c>
      <c r="M108" s="101" t="s">
        <v>42</v>
      </c>
      <c r="N108" s="417" t="s">
        <v>693</v>
      </c>
      <c r="O108" s="155">
        <v>4320000</v>
      </c>
      <c r="P108" s="104">
        <f t="shared" si="1"/>
        <v>1680000</v>
      </c>
      <c r="Q108" s="86"/>
      <c r="R108" s="87">
        <v>2</v>
      </c>
      <c r="S108" s="87">
        <v>10</v>
      </c>
      <c r="T108" s="87">
        <v>2017</v>
      </c>
      <c r="U108" s="88" t="s">
        <v>672</v>
      </c>
    </row>
    <row r="109" spans="1:21" s="87" customFormat="1" ht="133.5" customHeight="1" x14ac:dyDescent="0.45">
      <c r="A109" s="92">
        <v>252</v>
      </c>
      <c r="B109" s="93" t="s">
        <v>1</v>
      </c>
      <c r="C109" s="93" t="s">
        <v>317</v>
      </c>
      <c r="D109" s="94" t="s">
        <v>657</v>
      </c>
      <c r="E109" s="96">
        <v>32763230</v>
      </c>
      <c r="F109" s="93" t="s">
        <v>1</v>
      </c>
      <c r="G109" s="97" t="s">
        <v>285</v>
      </c>
      <c r="H109" s="93" t="s">
        <v>60</v>
      </c>
      <c r="I109" s="93" t="s">
        <v>133</v>
      </c>
      <c r="J109" s="93">
        <v>1.5</v>
      </c>
      <c r="K109" s="100">
        <v>43048</v>
      </c>
      <c r="L109" s="100">
        <v>43054</v>
      </c>
      <c r="M109" s="101" t="s">
        <v>42</v>
      </c>
      <c r="N109" s="417" t="s">
        <v>688</v>
      </c>
      <c r="O109" s="155">
        <v>32763230</v>
      </c>
      <c r="P109" s="104">
        <f t="shared" si="1"/>
        <v>0</v>
      </c>
      <c r="Q109" s="86"/>
      <c r="R109" s="87">
        <v>9</v>
      </c>
      <c r="S109" s="87">
        <v>11</v>
      </c>
      <c r="T109" s="87">
        <v>2017</v>
      </c>
      <c r="U109" s="88" t="s">
        <v>369</v>
      </c>
    </row>
    <row r="110" spans="1:21" s="87" customFormat="1" ht="105" customHeight="1" thickBot="1" x14ac:dyDescent="0.5">
      <c r="A110" s="109">
        <v>253</v>
      </c>
      <c r="B110" s="110" t="s">
        <v>1</v>
      </c>
      <c r="C110" s="110" t="s">
        <v>317</v>
      </c>
      <c r="D110" s="111" t="s">
        <v>658</v>
      </c>
      <c r="E110" s="112">
        <v>41490572</v>
      </c>
      <c r="F110" s="110" t="s">
        <v>1</v>
      </c>
      <c r="G110" s="113" t="s">
        <v>285</v>
      </c>
      <c r="H110" s="110" t="s">
        <v>113</v>
      </c>
      <c r="I110" s="110" t="s">
        <v>135</v>
      </c>
      <c r="J110" s="110">
        <v>1</v>
      </c>
      <c r="K110" s="419">
        <v>43048</v>
      </c>
      <c r="L110" s="419">
        <v>43054</v>
      </c>
      <c r="M110" s="116" t="s">
        <v>44</v>
      </c>
      <c r="N110" s="417" t="s">
        <v>691</v>
      </c>
      <c r="O110" s="155">
        <v>41490572</v>
      </c>
      <c r="P110" s="119">
        <f t="shared" si="1"/>
        <v>0</v>
      </c>
      <c r="Q110" s="86"/>
      <c r="R110" s="87">
        <v>9</v>
      </c>
      <c r="S110" s="87">
        <v>11</v>
      </c>
      <c r="T110" s="87">
        <v>2017</v>
      </c>
      <c r="U110" s="88" t="s">
        <v>369</v>
      </c>
    </row>
    <row r="111" spans="1:21" s="87" customFormat="1" ht="57.75" thickTop="1" x14ac:dyDescent="0.45">
      <c r="A111" s="132">
        <v>33</v>
      </c>
      <c r="B111" s="60" t="s">
        <v>0</v>
      </c>
      <c r="C111" s="61" t="s">
        <v>328</v>
      </c>
      <c r="D111" s="152" t="s">
        <v>54</v>
      </c>
      <c r="E111" s="63">
        <v>33000000</v>
      </c>
      <c r="F111" s="60" t="s">
        <v>0</v>
      </c>
      <c r="G111" s="64" t="s">
        <v>6</v>
      </c>
      <c r="H111" s="60" t="s">
        <v>60</v>
      </c>
      <c r="I111" s="60" t="s">
        <v>133</v>
      </c>
      <c r="J111" s="60">
        <v>8</v>
      </c>
      <c r="K111" s="65">
        <v>42801</v>
      </c>
      <c r="L111" s="66">
        <v>42807</v>
      </c>
      <c r="M111" s="67" t="s">
        <v>42</v>
      </c>
      <c r="N111" s="124" t="s">
        <v>351</v>
      </c>
      <c r="O111" s="125">
        <v>33000000</v>
      </c>
      <c r="P111" s="126">
        <f t="shared" si="0"/>
        <v>0</v>
      </c>
      <c r="Q111" s="86"/>
      <c r="R111" s="87">
        <v>7</v>
      </c>
      <c r="S111" s="87">
        <v>3</v>
      </c>
      <c r="T111" s="87">
        <v>2017</v>
      </c>
      <c r="U111" s="277" t="s">
        <v>369</v>
      </c>
    </row>
    <row r="112" spans="1:21" s="87" customFormat="1" ht="85.5" x14ac:dyDescent="0.45">
      <c r="A112" s="72">
        <v>33</v>
      </c>
      <c r="B112" s="60" t="s">
        <v>0</v>
      </c>
      <c r="C112" s="61" t="s">
        <v>328</v>
      </c>
      <c r="D112" s="152" t="s">
        <v>329</v>
      </c>
      <c r="E112" s="63">
        <v>16500000</v>
      </c>
      <c r="F112" s="60" t="s">
        <v>0</v>
      </c>
      <c r="G112" s="64" t="s">
        <v>285</v>
      </c>
      <c r="H112" s="60" t="s">
        <v>60</v>
      </c>
      <c r="I112" s="60" t="s">
        <v>133</v>
      </c>
      <c r="J112" s="60">
        <v>3</v>
      </c>
      <c r="K112" s="65">
        <v>42979</v>
      </c>
      <c r="L112" s="66">
        <v>42986</v>
      </c>
      <c r="M112" s="67" t="s">
        <v>42</v>
      </c>
      <c r="N112" s="105" t="s">
        <v>528</v>
      </c>
      <c r="O112" s="125">
        <v>16500000</v>
      </c>
      <c r="P112" s="126">
        <f t="shared" si="0"/>
        <v>0</v>
      </c>
      <c r="Q112" s="86"/>
      <c r="R112" s="87">
        <v>1</v>
      </c>
      <c r="S112" s="87">
        <v>9</v>
      </c>
      <c r="T112" s="87">
        <v>2017</v>
      </c>
      <c r="U112" s="277" t="s">
        <v>369</v>
      </c>
    </row>
    <row r="113" spans="1:21" s="87" customFormat="1" ht="66.75" customHeight="1" x14ac:dyDescent="0.45">
      <c r="A113" s="153">
        <v>34</v>
      </c>
      <c r="B113" s="73" t="s">
        <v>0</v>
      </c>
      <c r="C113" s="61" t="s">
        <v>328</v>
      </c>
      <c r="D113" s="154" t="s">
        <v>105</v>
      </c>
      <c r="E113" s="76">
        <v>21600000</v>
      </c>
      <c r="F113" s="73" t="s">
        <v>0</v>
      </c>
      <c r="G113" s="77" t="s">
        <v>6</v>
      </c>
      <c r="H113" s="73" t="s">
        <v>60</v>
      </c>
      <c r="I113" s="73" t="s">
        <v>133</v>
      </c>
      <c r="J113" s="73">
        <v>11</v>
      </c>
      <c r="K113" s="78">
        <v>42767</v>
      </c>
      <c r="L113" s="79">
        <v>42779</v>
      </c>
      <c r="M113" s="80" t="s">
        <v>42</v>
      </c>
      <c r="N113" s="90" t="s">
        <v>152</v>
      </c>
      <c r="O113" s="91">
        <v>21600000</v>
      </c>
      <c r="P113" s="126">
        <f t="shared" si="0"/>
        <v>0</v>
      </c>
      <c r="Q113" s="86"/>
      <c r="R113" s="87">
        <v>1</v>
      </c>
      <c r="S113" s="87">
        <v>2</v>
      </c>
      <c r="T113" s="87">
        <v>2017</v>
      </c>
      <c r="U113" s="276" t="s">
        <v>369</v>
      </c>
    </row>
    <row r="114" spans="1:21" s="87" customFormat="1" ht="76.5" customHeight="1" x14ac:dyDescent="0.45">
      <c r="A114" s="72">
        <v>34</v>
      </c>
      <c r="B114" s="73" t="s">
        <v>0</v>
      </c>
      <c r="C114" s="61" t="s">
        <v>328</v>
      </c>
      <c r="D114" s="152" t="s">
        <v>330</v>
      </c>
      <c r="E114" s="63">
        <v>10800000</v>
      </c>
      <c r="F114" s="60" t="s">
        <v>0</v>
      </c>
      <c r="G114" s="64" t="s">
        <v>285</v>
      </c>
      <c r="H114" s="60" t="s">
        <v>60</v>
      </c>
      <c r="I114" s="60" t="s">
        <v>133</v>
      </c>
      <c r="J114" s="60">
        <v>3</v>
      </c>
      <c r="K114" s="100">
        <v>42949</v>
      </c>
      <c r="L114" s="100">
        <v>42952</v>
      </c>
      <c r="M114" s="67" t="s">
        <v>42</v>
      </c>
      <c r="N114" s="90" t="s">
        <v>484</v>
      </c>
      <c r="O114" s="91">
        <v>10800000</v>
      </c>
      <c r="P114" s="126">
        <f t="shared" si="0"/>
        <v>0</v>
      </c>
      <c r="Q114" s="86"/>
      <c r="R114" s="87">
        <v>2</v>
      </c>
      <c r="S114" s="87">
        <v>8</v>
      </c>
      <c r="T114" s="87">
        <v>2017</v>
      </c>
      <c r="U114" s="277" t="s">
        <v>369</v>
      </c>
    </row>
    <row r="115" spans="1:21" s="87" customFormat="1" ht="135" customHeight="1" x14ac:dyDescent="0.45">
      <c r="A115" s="72">
        <v>35</v>
      </c>
      <c r="B115" s="73" t="s">
        <v>0</v>
      </c>
      <c r="C115" s="74" t="s">
        <v>334</v>
      </c>
      <c r="D115" s="154" t="s">
        <v>55</v>
      </c>
      <c r="E115" s="76">
        <v>33000000</v>
      </c>
      <c r="F115" s="73" t="s">
        <v>0</v>
      </c>
      <c r="G115" s="77" t="s">
        <v>6</v>
      </c>
      <c r="H115" s="73" t="s">
        <v>60</v>
      </c>
      <c r="I115" s="73" t="s">
        <v>133</v>
      </c>
      <c r="J115" s="73">
        <v>11</v>
      </c>
      <c r="K115" s="78">
        <v>42755</v>
      </c>
      <c r="L115" s="79">
        <v>42776</v>
      </c>
      <c r="M115" s="80" t="s">
        <v>42</v>
      </c>
      <c r="N115" s="90" t="s">
        <v>153</v>
      </c>
      <c r="O115" s="91">
        <v>33000000</v>
      </c>
      <c r="P115" s="85">
        <f t="shared" si="0"/>
        <v>0</v>
      </c>
      <c r="Q115" s="86"/>
      <c r="R115" s="87">
        <v>20</v>
      </c>
      <c r="S115" s="87">
        <v>1</v>
      </c>
      <c r="T115" s="87">
        <v>2017</v>
      </c>
      <c r="U115" s="277" t="s">
        <v>369</v>
      </c>
    </row>
    <row r="116" spans="1:21" s="87" customFormat="1" ht="110.25" customHeight="1" x14ac:dyDescent="0.45">
      <c r="A116" s="72">
        <v>36</v>
      </c>
      <c r="B116" s="73" t="s">
        <v>0</v>
      </c>
      <c r="C116" s="74" t="s">
        <v>337</v>
      </c>
      <c r="D116" s="154" t="s">
        <v>104</v>
      </c>
      <c r="E116" s="76">
        <v>40800000</v>
      </c>
      <c r="F116" s="73" t="s">
        <v>0</v>
      </c>
      <c r="G116" s="77" t="s">
        <v>6</v>
      </c>
      <c r="H116" s="73" t="s">
        <v>60</v>
      </c>
      <c r="I116" s="73" t="s">
        <v>133</v>
      </c>
      <c r="J116" s="73">
        <v>11</v>
      </c>
      <c r="K116" s="78">
        <v>42767</v>
      </c>
      <c r="L116" s="79">
        <v>42779</v>
      </c>
      <c r="M116" s="80" t="s">
        <v>42</v>
      </c>
      <c r="N116" s="90" t="s">
        <v>212</v>
      </c>
      <c r="O116" s="91">
        <v>40800000</v>
      </c>
      <c r="P116" s="85">
        <f t="shared" si="0"/>
        <v>0</v>
      </c>
      <c r="Q116" s="86"/>
      <c r="R116" s="87">
        <v>1</v>
      </c>
      <c r="S116" s="87">
        <v>2</v>
      </c>
      <c r="T116" s="87">
        <v>2017</v>
      </c>
      <c r="U116" s="276" t="s">
        <v>369</v>
      </c>
    </row>
    <row r="117" spans="1:21" s="87" customFormat="1" ht="167.25" customHeight="1" x14ac:dyDescent="0.45">
      <c r="A117" s="72">
        <v>37</v>
      </c>
      <c r="B117" s="73" t="s">
        <v>0</v>
      </c>
      <c r="C117" s="74" t="s">
        <v>25</v>
      </c>
      <c r="D117" s="154" t="s">
        <v>142</v>
      </c>
      <c r="E117" s="76">
        <v>0</v>
      </c>
      <c r="F117" s="129" t="s">
        <v>0</v>
      </c>
      <c r="G117" s="77" t="s">
        <v>73</v>
      </c>
      <c r="H117" s="73" t="s">
        <v>73</v>
      </c>
      <c r="I117" s="73" t="s">
        <v>73</v>
      </c>
      <c r="J117" s="89" t="s">
        <v>73</v>
      </c>
      <c r="K117" s="78"/>
      <c r="L117" s="79"/>
      <c r="M117" s="80" t="s">
        <v>42</v>
      </c>
      <c r="N117" s="81" t="s">
        <v>141</v>
      </c>
      <c r="O117" s="84"/>
      <c r="P117" s="85">
        <f t="shared" si="0"/>
        <v>0</v>
      </c>
      <c r="Q117" s="86"/>
      <c r="U117" s="88" t="s">
        <v>423</v>
      </c>
    </row>
    <row r="118" spans="1:21" s="87" customFormat="1" ht="114" x14ac:dyDescent="0.45">
      <c r="A118" s="72">
        <v>38</v>
      </c>
      <c r="B118" s="73" t="s">
        <v>0</v>
      </c>
      <c r="C118" s="74" t="s">
        <v>334</v>
      </c>
      <c r="D118" s="154" t="s">
        <v>145</v>
      </c>
      <c r="E118" s="76">
        <v>31000000</v>
      </c>
      <c r="F118" s="129" t="s">
        <v>0</v>
      </c>
      <c r="G118" s="77" t="s">
        <v>6</v>
      </c>
      <c r="H118" s="73" t="s">
        <v>60</v>
      </c>
      <c r="I118" s="73" t="s">
        <v>133</v>
      </c>
      <c r="J118" s="89">
        <v>6</v>
      </c>
      <c r="K118" s="78">
        <v>42839</v>
      </c>
      <c r="L118" s="79">
        <v>42860</v>
      </c>
      <c r="M118" s="80" t="s">
        <v>42</v>
      </c>
      <c r="N118" s="90" t="s">
        <v>213</v>
      </c>
      <c r="O118" s="91">
        <v>31000000</v>
      </c>
      <c r="P118" s="85">
        <f t="shared" si="0"/>
        <v>0</v>
      </c>
      <c r="Q118" s="86"/>
      <c r="R118" s="87">
        <v>14</v>
      </c>
      <c r="S118" s="87">
        <v>4</v>
      </c>
      <c r="T118" s="87">
        <v>2017</v>
      </c>
      <c r="U118" s="277" t="s">
        <v>369</v>
      </c>
    </row>
    <row r="119" spans="1:21" s="87" customFormat="1" ht="70.5" customHeight="1" x14ac:dyDescent="0.45">
      <c r="A119" s="72">
        <v>39</v>
      </c>
      <c r="B119" s="73" t="s">
        <v>0</v>
      </c>
      <c r="C119" s="74" t="s">
        <v>0</v>
      </c>
      <c r="D119" s="75" t="s">
        <v>72</v>
      </c>
      <c r="E119" s="422">
        <f>8000000-2500000+7000000+8066667</f>
        <v>20566667</v>
      </c>
      <c r="F119" s="129" t="s">
        <v>0</v>
      </c>
      <c r="G119" s="77" t="s">
        <v>6</v>
      </c>
      <c r="H119" s="73" t="s">
        <v>73</v>
      </c>
      <c r="I119" s="73" t="s">
        <v>73</v>
      </c>
      <c r="J119" s="89">
        <v>11</v>
      </c>
      <c r="K119" s="78"/>
      <c r="L119" s="79"/>
      <c r="M119" s="80" t="s">
        <v>42</v>
      </c>
      <c r="N119" s="106" t="s">
        <v>211</v>
      </c>
      <c r="O119" s="84">
        <v>1500000</v>
      </c>
      <c r="P119" s="85">
        <f t="shared" si="0"/>
        <v>19066667</v>
      </c>
      <c r="Q119" s="86"/>
      <c r="U119" s="88" t="s">
        <v>590</v>
      </c>
    </row>
    <row r="120" spans="1:21" s="87" customFormat="1" ht="85.5" customHeight="1" x14ac:dyDescent="0.45">
      <c r="A120" s="72">
        <v>102</v>
      </c>
      <c r="B120" s="73" t="s">
        <v>0</v>
      </c>
      <c r="C120" s="74" t="s">
        <v>25</v>
      </c>
      <c r="D120" s="75" t="s">
        <v>251</v>
      </c>
      <c r="E120" s="76">
        <v>39000000</v>
      </c>
      <c r="F120" s="129" t="s">
        <v>0</v>
      </c>
      <c r="G120" s="77" t="s">
        <v>285</v>
      </c>
      <c r="H120" s="73" t="s">
        <v>60</v>
      </c>
      <c r="I120" s="73" t="s">
        <v>133</v>
      </c>
      <c r="J120" s="89">
        <v>6</v>
      </c>
      <c r="K120" s="78">
        <v>42901</v>
      </c>
      <c r="L120" s="79">
        <v>42921</v>
      </c>
      <c r="M120" s="80" t="s">
        <v>42</v>
      </c>
      <c r="N120" s="105" t="s">
        <v>344</v>
      </c>
      <c r="O120" s="91">
        <v>38133333</v>
      </c>
      <c r="P120" s="85">
        <f t="shared" si="0"/>
        <v>866667</v>
      </c>
      <c r="Q120" s="86"/>
      <c r="R120" s="87">
        <v>15</v>
      </c>
      <c r="S120" s="87">
        <v>6</v>
      </c>
      <c r="T120" s="87">
        <v>2017</v>
      </c>
      <c r="U120" s="277" t="s">
        <v>369</v>
      </c>
    </row>
    <row r="121" spans="1:21" s="87" customFormat="1" ht="85.5" x14ac:dyDescent="0.45">
      <c r="A121" s="72">
        <v>103</v>
      </c>
      <c r="B121" s="73" t="s">
        <v>0</v>
      </c>
      <c r="C121" s="74" t="s">
        <v>331</v>
      </c>
      <c r="D121" s="75" t="s">
        <v>198</v>
      </c>
      <c r="E121" s="76">
        <v>27000000</v>
      </c>
      <c r="F121" s="129" t="s">
        <v>0</v>
      </c>
      <c r="G121" s="77" t="s">
        <v>6</v>
      </c>
      <c r="H121" s="73" t="s">
        <v>60</v>
      </c>
      <c r="I121" s="73" t="s">
        <v>133</v>
      </c>
      <c r="J121" s="89">
        <v>9</v>
      </c>
      <c r="K121" s="78">
        <v>42804</v>
      </c>
      <c r="L121" s="79">
        <v>42807</v>
      </c>
      <c r="M121" s="80" t="s">
        <v>42</v>
      </c>
      <c r="N121" s="105" t="s">
        <v>338</v>
      </c>
      <c r="O121" s="91">
        <v>27000000</v>
      </c>
      <c r="P121" s="85">
        <f t="shared" si="0"/>
        <v>0</v>
      </c>
      <c r="Q121" s="86"/>
      <c r="R121" s="87">
        <v>10</v>
      </c>
      <c r="S121" s="87">
        <v>3</v>
      </c>
      <c r="T121" s="87">
        <v>2017</v>
      </c>
      <c r="U121" s="277" t="s">
        <v>369</v>
      </c>
    </row>
    <row r="122" spans="1:21" s="87" customFormat="1" ht="85.5" x14ac:dyDescent="0.45">
      <c r="A122" s="72">
        <v>104</v>
      </c>
      <c r="B122" s="73" t="s">
        <v>0</v>
      </c>
      <c r="C122" s="74" t="s">
        <v>25</v>
      </c>
      <c r="D122" s="75" t="s">
        <v>176</v>
      </c>
      <c r="E122" s="76">
        <v>27000000</v>
      </c>
      <c r="F122" s="129" t="s">
        <v>0</v>
      </c>
      <c r="G122" s="77" t="s">
        <v>6</v>
      </c>
      <c r="H122" s="73" t="s">
        <v>60</v>
      </c>
      <c r="I122" s="73" t="s">
        <v>133</v>
      </c>
      <c r="J122" s="89">
        <v>6</v>
      </c>
      <c r="K122" s="78">
        <v>42804</v>
      </c>
      <c r="L122" s="79">
        <v>42829</v>
      </c>
      <c r="M122" s="80" t="s">
        <v>42</v>
      </c>
      <c r="N122" s="105" t="s">
        <v>235</v>
      </c>
      <c r="O122" s="91">
        <v>27000000</v>
      </c>
      <c r="P122" s="85">
        <f t="shared" si="0"/>
        <v>0</v>
      </c>
      <c r="Q122" s="86"/>
      <c r="R122" s="87">
        <v>10</v>
      </c>
      <c r="S122" s="87">
        <v>3</v>
      </c>
      <c r="T122" s="87">
        <v>2017</v>
      </c>
      <c r="U122" s="277" t="s">
        <v>369</v>
      </c>
    </row>
    <row r="123" spans="1:21" s="87" customFormat="1" ht="114" x14ac:dyDescent="0.45">
      <c r="A123" s="72">
        <v>105</v>
      </c>
      <c r="B123" s="73" t="s">
        <v>0</v>
      </c>
      <c r="C123" s="74" t="s">
        <v>331</v>
      </c>
      <c r="D123" s="75" t="s">
        <v>175</v>
      </c>
      <c r="E123" s="76">
        <v>27000000</v>
      </c>
      <c r="F123" s="129" t="s">
        <v>0</v>
      </c>
      <c r="G123" s="77" t="s">
        <v>6</v>
      </c>
      <c r="H123" s="73" t="s">
        <v>60</v>
      </c>
      <c r="I123" s="73" t="s">
        <v>133</v>
      </c>
      <c r="J123" s="89">
        <v>9</v>
      </c>
      <c r="K123" s="78">
        <v>42804</v>
      </c>
      <c r="L123" s="79">
        <v>42807</v>
      </c>
      <c r="M123" s="80" t="s">
        <v>42</v>
      </c>
      <c r="N123" s="105" t="s">
        <v>240</v>
      </c>
      <c r="O123" s="91">
        <v>27000000</v>
      </c>
      <c r="P123" s="85">
        <f t="shared" si="0"/>
        <v>0</v>
      </c>
      <c r="Q123" s="86"/>
      <c r="R123" s="87">
        <v>10</v>
      </c>
      <c r="S123" s="87">
        <v>3</v>
      </c>
      <c r="T123" s="87">
        <v>2017</v>
      </c>
      <c r="U123" s="277" t="s">
        <v>369</v>
      </c>
    </row>
    <row r="124" spans="1:21" s="87" customFormat="1" ht="114" x14ac:dyDescent="0.45">
      <c r="A124" s="72">
        <v>106</v>
      </c>
      <c r="B124" s="73" t="s">
        <v>0</v>
      </c>
      <c r="C124" s="74" t="s">
        <v>331</v>
      </c>
      <c r="D124" s="75" t="s">
        <v>177</v>
      </c>
      <c r="E124" s="76">
        <f>6*5500000</f>
        <v>33000000</v>
      </c>
      <c r="F124" s="129" t="s">
        <v>0</v>
      </c>
      <c r="G124" s="77" t="s">
        <v>6</v>
      </c>
      <c r="H124" s="73" t="s">
        <v>60</v>
      </c>
      <c r="I124" s="73" t="s">
        <v>133</v>
      </c>
      <c r="J124" s="89">
        <v>6</v>
      </c>
      <c r="K124" s="78">
        <v>42804</v>
      </c>
      <c r="L124" s="79">
        <v>42807</v>
      </c>
      <c r="M124" s="80" t="s">
        <v>42</v>
      </c>
      <c r="N124" s="105" t="s">
        <v>206</v>
      </c>
      <c r="O124" s="91">
        <v>33000000</v>
      </c>
      <c r="P124" s="85">
        <f t="shared" si="0"/>
        <v>0</v>
      </c>
      <c r="Q124" s="86"/>
      <c r="R124" s="87">
        <v>10</v>
      </c>
      <c r="S124" s="87">
        <v>3</v>
      </c>
      <c r="T124" s="87">
        <v>2017</v>
      </c>
      <c r="U124" s="277" t="s">
        <v>369</v>
      </c>
    </row>
    <row r="125" spans="1:21" s="87" customFormat="1" ht="57" x14ac:dyDescent="0.45">
      <c r="A125" s="92">
        <v>107</v>
      </c>
      <c r="B125" s="73" t="s">
        <v>0</v>
      </c>
      <c r="C125" s="74" t="s">
        <v>331</v>
      </c>
      <c r="D125" s="75" t="s">
        <v>186</v>
      </c>
      <c r="E125" s="76">
        <v>30000000</v>
      </c>
      <c r="F125" s="129" t="s">
        <v>0</v>
      </c>
      <c r="G125" s="77" t="s">
        <v>6</v>
      </c>
      <c r="H125" s="73" t="s">
        <v>60</v>
      </c>
      <c r="I125" s="73" t="s">
        <v>133</v>
      </c>
      <c r="J125" s="89">
        <v>9</v>
      </c>
      <c r="K125" s="78">
        <v>42804</v>
      </c>
      <c r="L125" s="79">
        <v>42807</v>
      </c>
      <c r="M125" s="80" t="s">
        <v>42</v>
      </c>
      <c r="N125" s="105" t="s">
        <v>222</v>
      </c>
      <c r="O125" s="91">
        <v>30000000</v>
      </c>
      <c r="P125" s="85">
        <f t="shared" si="0"/>
        <v>0</v>
      </c>
      <c r="Q125" s="86"/>
      <c r="R125" s="87">
        <v>10</v>
      </c>
      <c r="S125" s="87">
        <v>3</v>
      </c>
      <c r="T125" s="87">
        <v>2017</v>
      </c>
      <c r="U125" s="277" t="s">
        <v>369</v>
      </c>
    </row>
    <row r="126" spans="1:21" s="87" customFormat="1" ht="85.5" x14ac:dyDescent="0.45">
      <c r="A126" s="59">
        <v>107</v>
      </c>
      <c r="B126" s="73" t="s">
        <v>0</v>
      </c>
      <c r="C126" s="74" t="s">
        <v>331</v>
      </c>
      <c r="D126" s="75" t="s">
        <v>332</v>
      </c>
      <c r="E126" s="76">
        <v>15000000</v>
      </c>
      <c r="F126" s="129" t="s">
        <v>0</v>
      </c>
      <c r="G126" s="77" t="s">
        <v>285</v>
      </c>
      <c r="H126" s="73" t="s">
        <v>60</v>
      </c>
      <c r="I126" s="73" t="s">
        <v>133</v>
      </c>
      <c r="J126" s="89">
        <v>3</v>
      </c>
      <c r="K126" s="78">
        <v>42979</v>
      </c>
      <c r="L126" s="79">
        <v>42994</v>
      </c>
      <c r="M126" s="80" t="s">
        <v>42</v>
      </c>
      <c r="N126" s="105" t="s">
        <v>529</v>
      </c>
      <c r="O126" s="91">
        <v>15000000</v>
      </c>
      <c r="P126" s="85">
        <f t="shared" si="0"/>
        <v>0</v>
      </c>
      <c r="Q126" s="86"/>
      <c r="R126" s="87">
        <v>1</v>
      </c>
      <c r="S126" s="87">
        <v>9</v>
      </c>
      <c r="T126" s="87">
        <v>2017</v>
      </c>
      <c r="U126" s="277" t="s">
        <v>369</v>
      </c>
    </row>
    <row r="127" spans="1:21" s="87" customFormat="1" ht="85.5" x14ac:dyDescent="0.45">
      <c r="A127" s="72">
        <v>108</v>
      </c>
      <c r="B127" s="73" t="s">
        <v>0</v>
      </c>
      <c r="C127" s="74" t="s">
        <v>331</v>
      </c>
      <c r="D127" s="75" t="s">
        <v>185</v>
      </c>
      <c r="E127" s="76">
        <v>30000000</v>
      </c>
      <c r="F127" s="129" t="s">
        <v>0</v>
      </c>
      <c r="G127" s="77" t="s">
        <v>6</v>
      </c>
      <c r="H127" s="73" t="s">
        <v>60</v>
      </c>
      <c r="I127" s="73" t="s">
        <v>133</v>
      </c>
      <c r="J127" s="89">
        <v>6</v>
      </c>
      <c r="K127" s="78">
        <v>42804</v>
      </c>
      <c r="L127" s="79">
        <v>42828</v>
      </c>
      <c r="M127" s="80" t="s">
        <v>42</v>
      </c>
      <c r="N127" s="105" t="s">
        <v>236</v>
      </c>
      <c r="O127" s="91">
        <v>30000000</v>
      </c>
      <c r="P127" s="85">
        <f t="shared" si="0"/>
        <v>0</v>
      </c>
      <c r="Q127" s="86"/>
      <c r="R127" s="87">
        <v>10</v>
      </c>
      <c r="S127" s="87">
        <v>3</v>
      </c>
      <c r="T127" s="87">
        <v>2017</v>
      </c>
      <c r="U127" s="277" t="s">
        <v>369</v>
      </c>
    </row>
    <row r="128" spans="1:21" s="87" customFormat="1" ht="114" x14ac:dyDescent="0.45">
      <c r="A128" s="72">
        <v>109</v>
      </c>
      <c r="B128" s="73" t="s">
        <v>0</v>
      </c>
      <c r="C128" s="74" t="s">
        <v>331</v>
      </c>
      <c r="D128" s="75" t="s">
        <v>333</v>
      </c>
      <c r="E128" s="76">
        <f>5500000*4</f>
        <v>22000000</v>
      </c>
      <c r="F128" s="129" t="s">
        <v>0</v>
      </c>
      <c r="G128" s="77" t="s">
        <v>285</v>
      </c>
      <c r="H128" s="73" t="s">
        <v>60</v>
      </c>
      <c r="I128" s="73" t="s">
        <v>133</v>
      </c>
      <c r="J128" s="89">
        <v>4</v>
      </c>
      <c r="K128" s="100">
        <v>42972</v>
      </c>
      <c r="L128" s="100">
        <v>42979</v>
      </c>
      <c r="M128" s="80" t="s">
        <v>42</v>
      </c>
      <c r="N128" s="105" t="s">
        <v>474</v>
      </c>
      <c r="O128" s="91">
        <v>17400000</v>
      </c>
      <c r="P128" s="85">
        <f t="shared" si="0"/>
        <v>4600000</v>
      </c>
      <c r="Q128" s="86"/>
      <c r="R128" s="87">
        <v>25</v>
      </c>
      <c r="S128" s="87">
        <v>8</v>
      </c>
      <c r="T128" s="87">
        <v>2017</v>
      </c>
      <c r="U128" s="277" t="s">
        <v>369</v>
      </c>
    </row>
    <row r="129" spans="1:21" s="87" customFormat="1" ht="85.5" x14ac:dyDescent="0.45">
      <c r="A129" s="72">
        <v>110</v>
      </c>
      <c r="B129" s="73" t="s">
        <v>0</v>
      </c>
      <c r="C129" s="74" t="s">
        <v>331</v>
      </c>
      <c r="D129" s="75" t="s">
        <v>187</v>
      </c>
      <c r="E129" s="76">
        <v>30000000</v>
      </c>
      <c r="F129" s="129" t="s">
        <v>0</v>
      </c>
      <c r="G129" s="77" t="s">
        <v>6</v>
      </c>
      <c r="H129" s="73" t="s">
        <v>60</v>
      </c>
      <c r="I129" s="73" t="s">
        <v>133</v>
      </c>
      <c r="J129" s="89">
        <v>9</v>
      </c>
      <c r="K129" s="78">
        <v>42804</v>
      </c>
      <c r="L129" s="79">
        <v>42807</v>
      </c>
      <c r="M129" s="80" t="s">
        <v>42</v>
      </c>
      <c r="N129" s="105" t="s">
        <v>228</v>
      </c>
      <c r="O129" s="91">
        <v>30000000</v>
      </c>
      <c r="P129" s="85">
        <f t="shared" si="0"/>
        <v>0</v>
      </c>
      <c r="Q129" s="86"/>
      <c r="R129" s="87">
        <v>10</v>
      </c>
      <c r="S129" s="87">
        <v>3</v>
      </c>
      <c r="T129" s="87">
        <v>2017</v>
      </c>
      <c r="U129" s="277" t="s">
        <v>369</v>
      </c>
    </row>
    <row r="130" spans="1:21" s="87" customFormat="1" ht="57" x14ac:dyDescent="0.45">
      <c r="A130" s="72">
        <v>111</v>
      </c>
      <c r="B130" s="73" t="s">
        <v>0</v>
      </c>
      <c r="C130" s="74" t="s">
        <v>331</v>
      </c>
      <c r="D130" s="75" t="s">
        <v>188</v>
      </c>
      <c r="E130" s="76">
        <v>30000000</v>
      </c>
      <c r="F130" s="129" t="s">
        <v>0</v>
      </c>
      <c r="G130" s="77" t="s">
        <v>6</v>
      </c>
      <c r="H130" s="73" t="s">
        <v>60</v>
      </c>
      <c r="I130" s="73" t="s">
        <v>133</v>
      </c>
      <c r="J130" s="89">
        <v>9</v>
      </c>
      <c r="K130" s="78">
        <v>42804</v>
      </c>
      <c r="L130" s="79">
        <v>42807</v>
      </c>
      <c r="M130" s="80" t="s">
        <v>42</v>
      </c>
      <c r="N130" s="105" t="s">
        <v>221</v>
      </c>
      <c r="O130" s="91">
        <v>30000000</v>
      </c>
      <c r="P130" s="85">
        <f t="shared" si="0"/>
        <v>0</v>
      </c>
      <c r="Q130" s="86"/>
      <c r="R130" s="87">
        <v>10</v>
      </c>
      <c r="S130" s="87">
        <v>3</v>
      </c>
      <c r="T130" s="87">
        <v>2017</v>
      </c>
      <c r="U130" s="277" t="s">
        <v>369</v>
      </c>
    </row>
    <row r="131" spans="1:21" s="87" customFormat="1" ht="85.5" x14ac:dyDescent="0.45">
      <c r="A131" s="72">
        <v>112</v>
      </c>
      <c r="B131" s="73" t="s">
        <v>0</v>
      </c>
      <c r="C131" s="74" t="s">
        <v>25</v>
      </c>
      <c r="D131" s="75" t="s">
        <v>178</v>
      </c>
      <c r="E131" s="76">
        <v>36000000</v>
      </c>
      <c r="F131" s="129" t="s">
        <v>0</v>
      </c>
      <c r="G131" s="77" t="s">
        <v>6</v>
      </c>
      <c r="H131" s="73" t="s">
        <v>60</v>
      </c>
      <c r="I131" s="73" t="s">
        <v>133</v>
      </c>
      <c r="J131" s="89">
        <v>9</v>
      </c>
      <c r="K131" s="78">
        <v>42804</v>
      </c>
      <c r="L131" s="79">
        <v>42807</v>
      </c>
      <c r="M131" s="80" t="s">
        <v>42</v>
      </c>
      <c r="N131" s="105" t="s">
        <v>347</v>
      </c>
      <c r="O131" s="91">
        <v>36000000</v>
      </c>
      <c r="P131" s="85">
        <f t="shared" si="0"/>
        <v>0</v>
      </c>
      <c r="Q131" s="86"/>
      <c r="R131" s="87">
        <v>10</v>
      </c>
      <c r="S131" s="87">
        <v>3</v>
      </c>
      <c r="T131" s="87">
        <v>2017</v>
      </c>
      <c r="U131" s="277" t="s">
        <v>369</v>
      </c>
    </row>
    <row r="132" spans="1:21" s="87" customFormat="1" ht="57" x14ac:dyDescent="0.45">
      <c r="A132" s="72">
        <v>113</v>
      </c>
      <c r="B132" s="73" t="s">
        <v>0</v>
      </c>
      <c r="C132" s="74" t="s">
        <v>25</v>
      </c>
      <c r="D132" s="75" t="s">
        <v>189</v>
      </c>
      <c r="E132" s="76">
        <v>0</v>
      </c>
      <c r="F132" s="129" t="s">
        <v>0</v>
      </c>
      <c r="G132" s="77" t="s">
        <v>73</v>
      </c>
      <c r="H132" s="73" t="s">
        <v>73</v>
      </c>
      <c r="I132" s="73" t="s">
        <v>73</v>
      </c>
      <c r="J132" s="89" t="s">
        <v>73</v>
      </c>
      <c r="K132" s="78"/>
      <c r="L132" s="79"/>
      <c r="M132" s="80" t="s">
        <v>42</v>
      </c>
      <c r="N132" s="106" t="s">
        <v>203</v>
      </c>
      <c r="O132" s="84"/>
      <c r="P132" s="85">
        <f t="shared" si="0"/>
        <v>0</v>
      </c>
      <c r="Q132" s="86"/>
      <c r="U132" s="88" t="s">
        <v>423</v>
      </c>
    </row>
    <row r="133" spans="1:21" s="87" customFormat="1" ht="57" x14ac:dyDescent="0.45">
      <c r="A133" s="72">
        <v>114</v>
      </c>
      <c r="B133" s="73" t="s">
        <v>0</v>
      </c>
      <c r="C133" s="74" t="s">
        <v>25</v>
      </c>
      <c r="D133" s="75" t="s">
        <v>174</v>
      </c>
      <c r="E133" s="76">
        <v>0</v>
      </c>
      <c r="F133" s="129" t="s">
        <v>0</v>
      </c>
      <c r="G133" s="77" t="s">
        <v>73</v>
      </c>
      <c r="H133" s="73" t="s">
        <v>73</v>
      </c>
      <c r="I133" s="73" t="s">
        <v>73</v>
      </c>
      <c r="J133" s="89" t="s">
        <v>73</v>
      </c>
      <c r="K133" s="78"/>
      <c r="L133" s="79"/>
      <c r="M133" s="80" t="s">
        <v>42</v>
      </c>
      <c r="N133" s="106" t="s">
        <v>203</v>
      </c>
      <c r="O133" s="84"/>
      <c r="P133" s="85">
        <f t="shared" si="0"/>
        <v>0</v>
      </c>
      <c r="Q133" s="86"/>
      <c r="U133" s="88" t="s">
        <v>423</v>
      </c>
    </row>
    <row r="134" spans="1:21" s="87" customFormat="1" ht="114" x14ac:dyDescent="0.45">
      <c r="A134" s="72">
        <v>115</v>
      </c>
      <c r="B134" s="73" t="s">
        <v>0</v>
      </c>
      <c r="C134" s="74" t="s">
        <v>25</v>
      </c>
      <c r="D134" s="75" t="s">
        <v>190</v>
      </c>
      <c r="E134" s="76">
        <v>24000000</v>
      </c>
      <c r="F134" s="129" t="s">
        <v>0</v>
      </c>
      <c r="G134" s="77" t="s">
        <v>6</v>
      </c>
      <c r="H134" s="73" t="s">
        <v>60</v>
      </c>
      <c r="I134" s="73" t="s">
        <v>133</v>
      </c>
      <c r="J134" s="89">
        <v>3</v>
      </c>
      <c r="K134" s="78">
        <v>42804</v>
      </c>
      <c r="L134" s="79">
        <v>42807</v>
      </c>
      <c r="M134" s="80" t="s">
        <v>42</v>
      </c>
      <c r="N134" s="105" t="s">
        <v>238</v>
      </c>
      <c r="O134" s="91">
        <v>24000000</v>
      </c>
      <c r="P134" s="85">
        <f t="shared" si="0"/>
        <v>0</v>
      </c>
      <c r="Q134" s="86"/>
      <c r="R134" s="87">
        <v>10</v>
      </c>
      <c r="S134" s="87">
        <v>3</v>
      </c>
      <c r="T134" s="87">
        <v>2017</v>
      </c>
      <c r="U134" s="277" t="s">
        <v>369</v>
      </c>
    </row>
    <row r="135" spans="1:21" s="87" customFormat="1" ht="85.5" x14ac:dyDescent="0.45">
      <c r="A135" s="72">
        <v>116</v>
      </c>
      <c r="B135" s="73" t="s">
        <v>0</v>
      </c>
      <c r="C135" s="74" t="s">
        <v>331</v>
      </c>
      <c r="D135" s="75" t="s">
        <v>196</v>
      </c>
      <c r="E135" s="76">
        <v>42000000</v>
      </c>
      <c r="F135" s="129" t="s">
        <v>0</v>
      </c>
      <c r="G135" s="77" t="s">
        <v>6</v>
      </c>
      <c r="H135" s="73" t="s">
        <v>60</v>
      </c>
      <c r="I135" s="73" t="s">
        <v>133</v>
      </c>
      <c r="J135" s="89">
        <v>6</v>
      </c>
      <c r="K135" s="78">
        <v>42804</v>
      </c>
      <c r="L135" s="79">
        <v>42807</v>
      </c>
      <c r="M135" s="80" t="s">
        <v>42</v>
      </c>
      <c r="N135" s="105" t="s">
        <v>346</v>
      </c>
      <c r="O135" s="91">
        <v>42000000</v>
      </c>
      <c r="P135" s="85">
        <f>E135-O135</f>
        <v>0</v>
      </c>
      <c r="Q135" s="86"/>
      <c r="R135" s="87">
        <v>10</v>
      </c>
      <c r="S135" s="87">
        <v>3</v>
      </c>
      <c r="T135" s="87">
        <v>2017</v>
      </c>
      <c r="U135" s="277" t="s">
        <v>369</v>
      </c>
    </row>
    <row r="136" spans="1:21" s="87" customFormat="1" ht="114" x14ac:dyDescent="0.45">
      <c r="A136" s="132">
        <v>152</v>
      </c>
      <c r="B136" s="73" t="s">
        <v>0</v>
      </c>
      <c r="C136" s="74" t="s">
        <v>334</v>
      </c>
      <c r="D136" s="75" t="s">
        <v>335</v>
      </c>
      <c r="E136" s="76">
        <v>48000000</v>
      </c>
      <c r="F136" s="129" t="s">
        <v>0</v>
      </c>
      <c r="G136" s="77" t="s">
        <v>285</v>
      </c>
      <c r="H136" s="73" t="s">
        <v>60</v>
      </c>
      <c r="I136" s="73" t="s">
        <v>133</v>
      </c>
      <c r="J136" s="89">
        <v>6</v>
      </c>
      <c r="K136" s="78">
        <v>42928</v>
      </c>
      <c r="L136" s="79">
        <v>42995</v>
      </c>
      <c r="M136" s="80" t="s">
        <v>42</v>
      </c>
      <c r="N136" s="105" t="s">
        <v>401</v>
      </c>
      <c r="O136" s="91">
        <v>41333333</v>
      </c>
      <c r="P136" s="85">
        <f t="shared" ref="P136:P141" si="2">E136-O136</f>
        <v>6666667</v>
      </c>
      <c r="Q136" s="86"/>
      <c r="R136" s="87">
        <v>12</v>
      </c>
      <c r="S136" s="87">
        <v>7</v>
      </c>
      <c r="T136" s="87">
        <v>2017</v>
      </c>
      <c r="U136" s="277" t="s">
        <v>369</v>
      </c>
    </row>
    <row r="137" spans="1:21" s="87" customFormat="1" ht="85.5" x14ac:dyDescent="0.45">
      <c r="A137" s="92">
        <v>153</v>
      </c>
      <c r="B137" s="73" t="s">
        <v>0</v>
      </c>
      <c r="C137" s="74" t="s">
        <v>331</v>
      </c>
      <c r="D137" s="75" t="s">
        <v>479</v>
      </c>
      <c r="E137" s="76">
        <f>15000000-1000000</f>
        <v>14000000</v>
      </c>
      <c r="F137" s="129" t="s">
        <v>0</v>
      </c>
      <c r="G137" s="77" t="s">
        <v>285</v>
      </c>
      <c r="H137" s="73" t="s">
        <v>60</v>
      </c>
      <c r="I137" s="73" t="s">
        <v>133</v>
      </c>
      <c r="J137" s="89">
        <v>2</v>
      </c>
      <c r="K137" s="78">
        <v>42991</v>
      </c>
      <c r="L137" s="79">
        <v>43009</v>
      </c>
      <c r="M137" s="80" t="s">
        <v>42</v>
      </c>
      <c r="N137" s="105" t="s">
        <v>597</v>
      </c>
      <c r="O137" s="91">
        <v>14000000</v>
      </c>
      <c r="P137" s="85">
        <f t="shared" si="2"/>
        <v>0</v>
      </c>
      <c r="Q137" s="86"/>
      <c r="R137" s="87">
        <v>13</v>
      </c>
      <c r="S137" s="87">
        <v>9</v>
      </c>
      <c r="T137" s="87">
        <v>2017</v>
      </c>
      <c r="U137" s="277" t="s">
        <v>369</v>
      </c>
    </row>
    <row r="138" spans="1:21" s="87" customFormat="1" ht="85.5" x14ac:dyDescent="0.45">
      <c r="A138" s="92">
        <v>154</v>
      </c>
      <c r="B138" s="73" t="s">
        <v>0</v>
      </c>
      <c r="C138" s="74" t="s">
        <v>331</v>
      </c>
      <c r="D138" s="75" t="s">
        <v>336</v>
      </c>
      <c r="E138" s="422">
        <f>28000000-8066667</f>
        <v>19933333</v>
      </c>
      <c r="F138" s="129" t="s">
        <v>0</v>
      </c>
      <c r="G138" s="77" t="s">
        <v>285</v>
      </c>
      <c r="H138" s="73" t="s">
        <v>60</v>
      </c>
      <c r="I138" s="73" t="s">
        <v>133</v>
      </c>
      <c r="J138" s="89">
        <v>4</v>
      </c>
      <c r="K138" s="78">
        <v>42988</v>
      </c>
      <c r="L138" s="79">
        <v>43003</v>
      </c>
      <c r="M138" s="80" t="s">
        <v>42</v>
      </c>
      <c r="N138" s="105" t="s">
        <v>517</v>
      </c>
      <c r="O138" s="91">
        <v>19933333</v>
      </c>
      <c r="P138" s="85">
        <f t="shared" si="2"/>
        <v>0</v>
      </c>
      <c r="Q138" s="86"/>
      <c r="R138" s="87">
        <v>10</v>
      </c>
      <c r="S138" s="87">
        <v>9</v>
      </c>
      <c r="T138" s="87">
        <v>2017</v>
      </c>
      <c r="U138" s="277" t="s">
        <v>369</v>
      </c>
    </row>
    <row r="139" spans="1:21" s="87" customFormat="1" ht="85.5" x14ac:dyDescent="0.45">
      <c r="A139" s="92">
        <v>155</v>
      </c>
      <c r="B139" s="73" t="s">
        <v>0</v>
      </c>
      <c r="C139" s="74" t="s">
        <v>331</v>
      </c>
      <c r="D139" s="75" t="s">
        <v>546</v>
      </c>
      <c r="E139" s="76">
        <f>16500000-1500000</f>
        <v>15000000</v>
      </c>
      <c r="F139" s="129" t="s">
        <v>0</v>
      </c>
      <c r="G139" s="77" t="s">
        <v>285</v>
      </c>
      <c r="H139" s="73" t="s">
        <v>60</v>
      </c>
      <c r="I139" s="73" t="s">
        <v>133</v>
      </c>
      <c r="J139" s="89">
        <v>2</v>
      </c>
      <c r="K139" s="78">
        <v>43027</v>
      </c>
      <c r="L139" s="79">
        <v>43027</v>
      </c>
      <c r="M139" s="80" t="s">
        <v>42</v>
      </c>
      <c r="N139" s="90" t="s">
        <v>522</v>
      </c>
      <c r="O139" s="155">
        <v>14500000</v>
      </c>
      <c r="P139" s="85">
        <f t="shared" si="2"/>
        <v>500000</v>
      </c>
      <c r="Q139" s="86"/>
      <c r="R139" s="87">
        <v>19</v>
      </c>
      <c r="S139" s="87">
        <v>10</v>
      </c>
      <c r="T139" s="87">
        <v>2017</v>
      </c>
      <c r="U139" s="277" t="s">
        <v>369</v>
      </c>
    </row>
    <row r="140" spans="1:21" s="87" customFormat="1" ht="85.5" x14ac:dyDescent="0.45">
      <c r="A140" s="92">
        <v>156</v>
      </c>
      <c r="B140" s="73" t="s">
        <v>0</v>
      </c>
      <c r="C140" s="74" t="s">
        <v>331</v>
      </c>
      <c r="D140" s="75" t="s">
        <v>544</v>
      </c>
      <c r="E140" s="76">
        <f>16500000-1500000</f>
        <v>15000000</v>
      </c>
      <c r="F140" s="129" t="s">
        <v>0</v>
      </c>
      <c r="G140" s="77" t="s">
        <v>285</v>
      </c>
      <c r="H140" s="73" t="s">
        <v>60</v>
      </c>
      <c r="I140" s="73" t="s">
        <v>133</v>
      </c>
      <c r="J140" s="89">
        <v>3</v>
      </c>
      <c r="K140" s="78">
        <v>43002</v>
      </c>
      <c r="L140" s="79">
        <v>43009</v>
      </c>
      <c r="M140" s="80" t="s">
        <v>42</v>
      </c>
      <c r="N140" s="90" t="s">
        <v>523</v>
      </c>
      <c r="O140" s="155">
        <v>15000000</v>
      </c>
      <c r="P140" s="85">
        <f t="shared" si="2"/>
        <v>0</v>
      </c>
      <c r="Q140" s="86"/>
      <c r="R140" s="87">
        <v>24</v>
      </c>
      <c r="S140" s="87">
        <v>9</v>
      </c>
      <c r="T140" s="87">
        <v>2017</v>
      </c>
      <c r="U140" s="277" t="s">
        <v>369</v>
      </c>
    </row>
    <row r="141" spans="1:21" s="87" customFormat="1" ht="86.25" thickBot="1" x14ac:dyDescent="0.5">
      <c r="A141" s="109">
        <v>157</v>
      </c>
      <c r="B141" s="110" t="s">
        <v>0</v>
      </c>
      <c r="C141" s="111" t="s">
        <v>331</v>
      </c>
      <c r="D141" s="143" t="s">
        <v>545</v>
      </c>
      <c r="E141" s="112">
        <f>16500000-3000000</f>
        <v>13500000</v>
      </c>
      <c r="F141" s="156" t="s">
        <v>0</v>
      </c>
      <c r="G141" s="113" t="s">
        <v>285</v>
      </c>
      <c r="H141" s="110" t="s">
        <v>60</v>
      </c>
      <c r="I141" s="110" t="s">
        <v>133</v>
      </c>
      <c r="J141" s="137">
        <v>2</v>
      </c>
      <c r="K141" s="114">
        <v>43041</v>
      </c>
      <c r="L141" s="115">
        <v>43054</v>
      </c>
      <c r="M141" s="116" t="s">
        <v>42</v>
      </c>
      <c r="N141" s="316" t="s">
        <v>636</v>
      </c>
      <c r="O141" s="317">
        <v>8850000</v>
      </c>
      <c r="P141" s="119">
        <f t="shared" si="2"/>
        <v>4650000</v>
      </c>
      <c r="Q141" s="86"/>
      <c r="R141" s="87">
        <v>2</v>
      </c>
      <c r="S141" s="87">
        <v>11</v>
      </c>
      <c r="T141" s="87">
        <v>2017</v>
      </c>
      <c r="U141" s="88" t="s">
        <v>369</v>
      </c>
    </row>
    <row r="142" spans="1:21" s="164" customFormat="1" ht="86.25" thickTop="1" x14ac:dyDescent="0.45">
      <c r="A142" s="59">
        <v>40</v>
      </c>
      <c r="B142" s="157" t="s">
        <v>5</v>
      </c>
      <c r="C142" s="158" t="s">
        <v>272</v>
      </c>
      <c r="D142" s="159" t="s">
        <v>144</v>
      </c>
      <c r="E142" s="63">
        <v>90000000</v>
      </c>
      <c r="F142" s="160" t="s">
        <v>59</v>
      </c>
      <c r="G142" s="64" t="s">
        <v>6</v>
      </c>
      <c r="H142" s="60" t="s">
        <v>60</v>
      </c>
      <c r="I142" s="60" t="s">
        <v>133</v>
      </c>
      <c r="J142" s="127">
        <v>10</v>
      </c>
      <c r="K142" s="65">
        <v>42793</v>
      </c>
      <c r="L142" s="66">
        <v>42795</v>
      </c>
      <c r="M142" s="67" t="s">
        <v>42</v>
      </c>
      <c r="N142" s="161" t="s">
        <v>207</v>
      </c>
      <c r="O142" s="162">
        <v>90000000</v>
      </c>
      <c r="P142" s="163">
        <f t="shared" si="0"/>
        <v>0</v>
      </c>
      <c r="Q142" s="69"/>
      <c r="R142" s="164">
        <v>27</v>
      </c>
      <c r="S142" s="164">
        <v>2</v>
      </c>
      <c r="T142" s="164">
        <v>2017</v>
      </c>
      <c r="U142" s="71" t="s">
        <v>369</v>
      </c>
    </row>
    <row r="143" spans="1:21" s="164" customFormat="1" ht="85.5" x14ac:dyDescent="0.45">
      <c r="A143" s="92">
        <v>41</v>
      </c>
      <c r="B143" s="165" t="s">
        <v>5</v>
      </c>
      <c r="C143" s="158" t="s">
        <v>272</v>
      </c>
      <c r="D143" s="131" t="s">
        <v>61</v>
      </c>
      <c r="E143" s="76">
        <v>40000000</v>
      </c>
      <c r="F143" s="166" t="s">
        <v>59</v>
      </c>
      <c r="G143" s="77" t="s">
        <v>6</v>
      </c>
      <c r="H143" s="73" t="s">
        <v>60</v>
      </c>
      <c r="I143" s="73" t="s">
        <v>133</v>
      </c>
      <c r="J143" s="73">
        <v>6</v>
      </c>
      <c r="K143" s="78">
        <v>42781</v>
      </c>
      <c r="L143" s="79">
        <v>42795</v>
      </c>
      <c r="M143" s="80" t="s">
        <v>43</v>
      </c>
      <c r="N143" s="167" t="s">
        <v>247</v>
      </c>
      <c r="O143" s="168">
        <f>5*8000000</f>
        <v>40000000</v>
      </c>
      <c r="P143" s="83">
        <f t="shared" si="0"/>
        <v>0</v>
      </c>
      <c r="Q143" s="69"/>
      <c r="R143" s="164">
        <v>15</v>
      </c>
      <c r="S143" s="164">
        <v>2</v>
      </c>
      <c r="T143" s="164">
        <v>2017</v>
      </c>
      <c r="U143" s="71" t="s">
        <v>369</v>
      </c>
    </row>
    <row r="144" spans="1:21" s="164" customFormat="1" ht="110.25" customHeight="1" x14ac:dyDescent="0.45">
      <c r="A144" s="59">
        <v>41</v>
      </c>
      <c r="B144" s="165" t="s">
        <v>5</v>
      </c>
      <c r="C144" s="158" t="s">
        <v>272</v>
      </c>
      <c r="D144" s="131" t="s">
        <v>533</v>
      </c>
      <c r="E144" s="174">
        <f>8000000*J144-4750000</f>
        <v>15250000</v>
      </c>
      <c r="F144" s="73" t="s">
        <v>5</v>
      </c>
      <c r="G144" s="77" t="s">
        <v>6</v>
      </c>
      <c r="H144" s="73" t="s">
        <v>60</v>
      </c>
      <c r="I144" s="73" t="s">
        <v>133</v>
      </c>
      <c r="J144" s="73">
        <v>2.5</v>
      </c>
      <c r="K144" s="148">
        <v>43019</v>
      </c>
      <c r="L144" s="175">
        <v>43021</v>
      </c>
      <c r="M144" s="80" t="s">
        <v>43</v>
      </c>
      <c r="N144" s="167" t="s">
        <v>634</v>
      </c>
      <c r="O144" s="168">
        <v>13420000</v>
      </c>
      <c r="P144" s="83">
        <f t="shared" si="0"/>
        <v>1830000</v>
      </c>
      <c r="Q144" s="69" t="s">
        <v>616</v>
      </c>
      <c r="R144" s="164">
        <v>7</v>
      </c>
      <c r="S144" s="164">
        <v>10</v>
      </c>
      <c r="T144" s="164">
        <v>2017</v>
      </c>
      <c r="U144" s="88" t="s">
        <v>369</v>
      </c>
    </row>
    <row r="145" spans="1:21" s="164" customFormat="1" ht="114" x14ac:dyDescent="0.45">
      <c r="A145" s="72">
        <v>42</v>
      </c>
      <c r="B145" s="165" t="s">
        <v>5</v>
      </c>
      <c r="C145" s="158" t="s">
        <v>272</v>
      </c>
      <c r="D145" s="131" t="s">
        <v>62</v>
      </c>
      <c r="E145" s="76">
        <v>0</v>
      </c>
      <c r="F145" s="166" t="s">
        <v>59</v>
      </c>
      <c r="G145" s="77" t="s">
        <v>73</v>
      </c>
      <c r="H145" s="73" t="s">
        <v>73</v>
      </c>
      <c r="I145" s="73" t="s">
        <v>73</v>
      </c>
      <c r="J145" s="89" t="s">
        <v>73</v>
      </c>
      <c r="K145" s="78"/>
      <c r="L145" s="79"/>
      <c r="M145" s="80" t="s">
        <v>43</v>
      </c>
      <c r="N145" s="171" t="s">
        <v>273</v>
      </c>
      <c r="O145" s="82"/>
      <c r="P145" s="83">
        <f t="shared" si="0"/>
        <v>0</v>
      </c>
      <c r="Q145" s="69"/>
      <c r="U145" s="170" t="s">
        <v>423</v>
      </c>
    </row>
    <row r="146" spans="1:21" s="164" customFormat="1" ht="85.5" x14ac:dyDescent="0.45">
      <c r="A146" s="172">
        <v>43</v>
      </c>
      <c r="B146" s="73" t="s">
        <v>5</v>
      </c>
      <c r="C146" s="158" t="s">
        <v>272</v>
      </c>
      <c r="D146" s="131" t="s">
        <v>63</v>
      </c>
      <c r="E146" s="76">
        <v>48000000</v>
      </c>
      <c r="F146" s="73" t="s">
        <v>59</v>
      </c>
      <c r="G146" s="77" t="s">
        <v>6</v>
      </c>
      <c r="H146" s="73" t="s">
        <v>60</v>
      </c>
      <c r="I146" s="73" t="s">
        <v>133</v>
      </c>
      <c r="J146" s="89">
        <v>8</v>
      </c>
      <c r="K146" s="78">
        <v>42781</v>
      </c>
      <c r="L146" s="79">
        <v>42795</v>
      </c>
      <c r="M146" s="80" t="s">
        <v>43</v>
      </c>
      <c r="N146" s="167" t="s">
        <v>214</v>
      </c>
      <c r="O146" s="168">
        <v>48000000</v>
      </c>
      <c r="P146" s="83">
        <f>E146-O146</f>
        <v>0</v>
      </c>
      <c r="Q146" s="69"/>
      <c r="R146" s="164">
        <v>15</v>
      </c>
      <c r="S146" s="164">
        <v>2</v>
      </c>
      <c r="T146" s="164">
        <v>2017</v>
      </c>
      <c r="U146" s="71" t="s">
        <v>369</v>
      </c>
    </row>
    <row r="147" spans="1:21" s="164" customFormat="1" ht="85.5" x14ac:dyDescent="0.45">
      <c r="A147" s="173">
        <v>43</v>
      </c>
      <c r="B147" s="73" t="s">
        <v>5</v>
      </c>
      <c r="C147" s="158" t="s">
        <v>272</v>
      </c>
      <c r="D147" s="131" t="s">
        <v>267</v>
      </c>
      <c r="E147" s="174">
        <v>18000000</v>
      </c>
      <c r="F147" s="73" t="s">
        <v>5</v>
      </c>
      <c r="G147" s="77" t="s">
        <v>6</v>
      </c>
      <c r="H147" s="73" t="s">
        <v>60</v>
      </c>
      <c r="I147" s="73" t="s">
        <v>133</v>
      </c>
      <c r="J147" s="73">
        <v>6</v>
      </c>
      <c r="K147" s="148">
        <v>42995</v>
      </c>
      <c r="L147" s="175">
        <v>43026</v>
      </c>
      <c r="M147" s="80" t="s">
        <v>43</v>
      </c>
      <c r="N147" s="167" t="s">
        <v>543</v>
      </c>
      <c r="O147" s="168">
        <v>14800000</v>
      </c>
      <c r="P147" s="83">
        <f>E147-O147</f>
        <v>3200000</v>
      </c>
      <c r="Q147" s="69"/>
      <c r="R147" s="164">
        <v>17</v>
      </c>
      <c r="S147" s="164">
        <v>9</v>
      </c>
      <c r="T147" s="164">
        <v>2017</v>
      </c>
      <c r="U147" s="170" t="s">
        <v>369</v>
      </c>
    </row>
    <row r="148" spans="1:21" s="164" customFormat="1" ht="85.5" x14ac:dyDescent="0.45">
      <c r="A148" s="72">
        <v>44</v>
      </c>
      <c r="B148" s="165" t="s">
        <v>5</v>
      </c>
      <c r="C148" s="158" t="s">
        <v>272</v>
      </c>
      <c r="D148" s="131" t="s">
        <v>191</v>
      </c>
      <c r="E148" s="76">
        <v>39000000</v>
      </c>
      <c r="F148" s="73" t="s">
        <v>59</v>
      </c>
      <c r="G148" s="77" t="s">
        <v>6</v>
      </c>
      <c r="H148" s="73" t="s">
        <v>60</v>
      </c>
      <c r="I148" s="73" t="s">
        <v>133</v>
      </c>
      <c r="J148" s="89">
        <v>8</v>
      </c>
      <c r="K148" s="78">
        <v>42804</v>
      </c>
      <c r="L148" s="79">
        <v>42807</v>
      </c>
      <c r="M148" s="67" t="s">
        <v>42</v>
      </c>
      <c r="N148" s="90" t="s">
        <v>225</v>
      </c>
      <c r="O148" s="168">
        <v>39000000</v>
      </c>
      <c r="P148" s="83">
        <f t="shared" si="0"/>
        <v>0</v>
      </c>
      <c r="Q148" s="69"/>
      <c r="R148" s="164">
        <v>10</v>
      </c>
      <c r="S148" s="164">
        <v>3</v>
      </c>
      <c r="T148" s="164">
        <v>2017</v>
      </c>
      <c r="U148" s="88" t="s">
        <v>369</v>
      </c>
    </row>
    <row r="149" spans="1:21" ht="85.5" x14ac:dyDescent="0.45">
      <c r="A149" s="72">
        <v>45</v>
      </c>
      <c r="B149" s="165" t="s">
        <v>5</v>
      </c>
      <c r="C149" s="158" t="s">
        <v>272</v>
      </c>
      <c r="D149" s="75" t="s">
        <v>64</v>
      </c>
      <c r="E149" s="76">
        <v>0</v>
      </c>
      <c r="F149" s="73" t="s">
        <v>59</v>
      </c>
      <c r="G149" s="77" t="s">
        <v>73</v>
      </c>
      <c r="H149" s="73" t="s">
        <v>73</v>
      </c>
      <c r="I149" s="73" t="s">
        <v>73</v>
      </c>
      <c r="J149" s="89" t="s">
        <v>73</v>
      </c>
      <c r="K149" s="78"/>
      <c r="L149" s="79"/>
      <c r="M149" s="80" t="s">
        <v>43</v>
      </c>
      <c r="N149" s="171" t="s">
        <v>227</v>
      </c>
      <c r="O149" s="82"/>
      <c r="P149" s="83">
        <f t="shared" si="0"/>
        <v>0</v>
      </c>
      <c r="Q149" s="69"/>
      <c r="U149" s="71" t="s">
        <v>423</v>
      </c>
    </row>
    <row r="150" spans="1:21" ht="114" x14ac:dyDescent="0.45">
      <c r="A150" s="72">
        <v>46</v>
      </c>
      <c r="B150" s="165" t="s">
        <v>5</v>
      </c>
      <c r="C150" s="158" t="s">
        <v>272</v>
      </c>
      <c r="D150" s="75" t="s">
        <v>65</v>
      </c>
      <c r="E150" s="76">
        <v>42000000</v>
      </c>
      <c r="F150" s="73" t="s">
        <v>59</v>
      </c>
      <c r="G150" s="77" t="s">
        <v>6</v>
      </c>
      <c r="H150" s="73" t="s">
        <v>60</v>
      </c>
      <c r="I150" s="73" t="s">
        <v>133</v>
      </c>
      <c r="J150" s="89">
        <v>6</v>
      </c>
      <c r="K150" s="78">
        <v>42840</v>
      </c>
      <c r="L150" s="79">
        <v>42856</v>
      </c>
      <c r="M150" s="80" t="s">
        <v>43</v>
      </c>
      <c r="N150" s="176" t="s">
        <v>215</v>
      </c>
      <c r="O150" s="168">
        <v>42000000</v>
      </c>
      <c r="P150" s="83">
        <f t="shared" si="0"/>
        <v>0</v>
      </c>
      <c r="Q150" s="69"/>
      <c r="R150" s="70">
        <v>15</v>
      </c>
      <c r="S150" s="70">
        <v>4</v>
      </c>
      <c r="T150" s="70">
        <v>2017</v>
      </c>
      <c r="U150" s="71" t="s">
        <v>369</v>
      </c>
    </row>
    <row r="151" spans="1:21" ht="85.5" x14ac:dyDescent="0.45">
      <c r="A151" s="72">
        <v>46</v>
      </c>
      <c r="B151" s="165" t="s">
        <v>5</v>
      </c>
      <c r="C151" s="158" t="s">
        <v>272</v>
      </c>
      <c r="D151" s="75" t="s">
        <v>460</v>
      </c>
      <c r="E151" s="76">
        <v>21000000</v>
      </c>
      <c r="F151" s="73" t="s">
        <v>59</v>
      </c>
      <c r="G151" s="77" t="s">
        <v>6</v>
      </c>
      <c r="H151" s="73" t="s">
        <v>60</v>
      </c>
      <c r="I151" s="73" t="s">
        <v>133</v>
      </c>
      <c r="J151" s="89">
        <v>3</v>
      </c>
      <c r="K151" s="78">
        <v>42977</v>
      </c>
      <c r="L151" s="79">
        <v>42978</v>
      </c>
      <c r="M151" s="80" t="s">
        <v>43</v>
      </c>
      <c r="N151" s="176" t="s">
        <v>481</v>
      </c>
      <c r="O151" s="168">
        <v>21000000</v>
      </c>
      <c r="P151" s="83">
        <f t="shared" si="0"/>
        <v>0</v>
      </c>
      <c r="Q151" s="69"/>
      <c r="R151" s="70">
        <v>30</v>
      </c>
      <c r="S151" s="70">
        <v>8</v>
      </c>
      <c r="T151" s="70">
        <v>2017</v>
      </c>
      <c r="U151" s="71" t="s">
        <v>369</v>
      </c>
    </row>
    <row r="152" spans="1:21" ht="85.5" x14ac:dyDescent="0.45">
      <c r="A152" s="72">
        <v>47</v>
      </c>
      <c r="B152" s="165" t="s">
        <v>5</v>
      </c>
      <c r="C152" s="158" t="s">
        <v>272</v>
      </c>
      <c r="D152" s="75" t="s">
        <v>66</v>
      </c>
      <c r="E152" s="76">
        <v>36000000</v>
      </c>
      <c r="F152" s="73" t="s">
        <v>59</v>
      </c>
      <c r="G152" s="77" t="s">
        <v>6</v>
      </c>
      <c r="H152" s="73" t="s">
        <v>60</v>
      </c>
      <c r="I152" s="73" t="s">
        <v>133</v>
      </c>
      <c r="J152" s="89">
        <v>6</v>
      </c>
      <c r="K152" s="78">
        <v>42840</v>
      </c>
      <c r="L152" s="79">
        <v>42856</v>
      </c>
      <c r="M152" s="80" t="s">
        <v>43</v>
      </c>
      <c r="N152" s="176" t="s">
        <v>154</v>
      </c>
      <c r="O152" s="168">
        <v>36000000</v>
      </c>
      <c r="P152" s="83">
        <f t="shared" si="0"/>
        <v>0</v>
      </c>
      <c r="Q152" s="69"/>
      <c r="R152" s="70">
        <v>15</v>
      </c>
      <c r="S152" s="70">
        <v>4</v>
      </c>
      <c r="T152" s="70">
        <v>2017</v>
      </c>
      <c r="U152" s="71" t="s">
        <v>369</v>
      </c>
    </row>
    <row r="153" spans="1:21" s="177" customFormat="1" ht="129" customHeight="1" x14ac:dyDescent="0.45">
      <c r="A153" s="92">
        <v>48</v>
      </c>
      <c r="B153" s="165" t="s">
        <v>5</v>
      </c>
      <c r="C153" s="158" t="s">
        <v>272</v>
      </c>
      <c r="D153" s="75" t="s">
        <v>125</v>
      </c>
      <c r="E153" s="76">
        <f>4400000*8</f>
        <v>35200000</v>
      </c>
      <c r="F153" s="73" t="s">
        <v>59</v>
      </c>
      <c r="G153" s="77" t="s">
        <v>6</v>
      </c>
      <c r="H153" s="73" t="s">
        <v>60</v>
      </c>
      <c r="I153" s="73" t="s">
        <v>133</v>
      </c>
      <c r="J153" s="73">
        <v>8</v>
      </c>
      <c r="K153" s="78">
        <v>42781</v>
      </c>
      <c r="L153" s="79">
        <v>42795</v>
      </c>
      <c r="M153" s="80" t="s">
        <v>43</v>
      </c>
      <c r="N153" s="176" t="s">
        <v>155</v>
      </c>
      <c r="O153" s="168">
        <v>35200000</v>
      </c>
      <c r="P153" s="83">
        <f t="shared" si="0"/>
        <v>0</v>
      </c>
      <c r="Q153" s="69"/>
      <c r="R153" s="177">
        <v>15</v>
      </c>
      <c r="S153" s="177">
        <v>2</v>
      </c>
      <c r="T153" s="177">
        <v>2017</v>
      </c>
      <c r="U153" s="71" t="s">
        <v>369</v>
      </c>
    </row>
    <row r="154" spans="1:21" s="177" customFormat="1" ht="114" x14ac:dyDescent="0.45">
      <c r="A154" s="59">
        <v>48</v>
      </c>
      <c r="B154" s="165" t="s">
        <v>5</v>
      </c>
      <c r="C154" s="158" t="s">
        <v>272</v>
      </c>
      <c r="D154" s="131" t="s">
        <v>274</v>
      </c>
      <c r="E154" s="174">
        <f>4400000*J154</f>
        <v>8800000</v>
      </c>
      <c r="F154" s="73" t="s">
        <v>5</v>
      </c>
      <c r="G154" s="77" t="s">
        <v>6</v>
      </c>
      <c r="H154" s="73" t="s">
        <v>60</v>
      </c>
      <c r="I154" s="73" t="s">
        <v>133</v>
      </c>
      <c r="J154" s="73">
        <v>2</v>
      </c>
      <c r="K154" s="148">
        <v>42986</v>
      </c>
      <c r="L154" s="175">
        <v>43019</v>
      </c>
      <c r="M154" s="80" t="s">
        <v>43</v>
      </c>
      <c r="N154" s="176" t="s">
        <v>542</v>
      </c>
      <c r="O154" s="168">
        <v>8800000</v>
      </c>
      <c r="P154" s="83">
        <f t="shared" si="0"/>
        <v>0</v>
      </c>
      <c r="Q154" s="69"/>
      <c r="R154" s="177">
        <v>8</v>
      </c>
      <c r="S154" s="177">
        <v>9</v>
      </c>
      <c r="T154" s="177">
        <v>2017</v>
      </c>
      <c r="U154" s="178" t="s">
        <v>369</v>
      </c>
    </row>
    <row r="155" spans="1:21" ht="144" customHeight="1" x14ac:dyDescent="0.45">
      <c r="A155" s="72">
        <v>49</v>
      </c>
      <c r="B155" s="165" t="s">
        <v>5</v>
      </c>
      <c r="C155" s="158" t="s">
        <v>275</v>
      </c>
      <c r="D155" s="75" t="s">
        <v>276</v>
      </c>
      <c r="E155" s="76">
        <f>13000000-2050000-2400445</f>
        <v>8549555</v>
      </c>
      <c r="F155" s="73" t="s">
        <v>5</v>
      </c>
      <c r="G155" s="77" t="s">
        <v>6</v>
      </c>
      <c r="H155" s="73" t="s">
        <v>70</v>
      </c>
      <c r="I155" s="73" t="s">
        <v>135</v>
      </c>
      <c r="J155" s="89">
        <v>4</v>
      </c>
      <c r="K155" s="78">
        <v>42969</v>
      </c>
      <c r="L155" s="79">
        <v>43000</v>
      </c>
      <c r="M155" s="80" t="s">
        <v>43</v>
      </c>
      <c r="N155" s="176" t="s">
        <v>539</v>
      </c>
      <c r="O155" s="168">
        <v>8549555</v>
      </c>
      <c r="P155" s="83">
        <f t="shared" si="0"/>
        <v>0</v>
      </c>
      <c r="Q155" s="247" t="s">
        <v>422</v>
      </c>
      <c r="R155" s="70">
        <v>22</v>
      </c>
      <c r="S155" s="70">
        <v>8</v>
      </c>
      <c r="T155" s="70">
        <v>2017</v>
      </c>
      <c r="U155" s="88" t="s">
        <v>369</v>
      </c>
    </row>
    <row r="156" spans="1:21" ht="117.75" customHeight="1" x14ac:dyDescent="0.45">
      <c r="A156" s="72">
        <v>50</v>
      </c>
      <c r="B156" s="165" t="s">
        <v>5</v>
      </c>
      <c r="C156" s="158" t="s">
        <v>272</v>
      </c>
      <c r="D156" s="75" t="s">
        <v>534</v>
      </c>
      <c r="E156" s="76">
        <f>15000000+5000000</f>
        <v>20000000</v>
      </c>
      <c r="F156" s="73" t="s">
        <v>5</v>
      </c>
      <c r="G156" s="77" t="s">
        <v>6</v>
      </c>
      <c r="H156" s="73" t="s">
        <v>60</v>
      </c>
      <c r="I156" s="73" t="s">
        <v>133</v>
      </c>
      <c r="J156" s="89">
        <v>2.5</v>
      </c>
      <c r="K156" s="78">
        <v>42827</v>
      </c>
      <c r="L156" s="79">
        <v>42840</v>
      </c>
      <c r="M156" s="80" t="s">
        <v>43</v>
      </c>
      <c r="N156" s="176" t="s">
        <v>633</v>
      </c>
      <c r="O156" s="168">
        <v>15733333</v>
      </c>
      <c r="P156" s="83">
        <f t="shared" si="0"/>
        <v>4266667</v>
      </c>
      <c r="Q156" s="69"/>
      <c r="R156" s="70">
        <v>2</v>
      </c>
      <c r="S156" s="70">
        <v>4</v>
      </c>
      <c r="T156" s="70">
        <v>2017</v>
      </c>
      <c r="U156" s="88" t="s">
        <v>369</v>
      </c>
    </row>
    <row r="157" spans="1:21" ht="111.75" customHeight="1" x14ac:dyDescent="0.45">
      <c r="A157" s="72">
        <v>51</v>
      </c>
      <c r="B157" s="165" t="s">
        <v>5</v>
      </c>
      <c r="C157" s="158" t="s">
        <v>275</v>
      </c>
      <c r="D157" s="75" t="s">
        <v>106</v>
      </c>
      <c r="E157" s="76">
        <v>35200000</v>
      </c>
      <c r="F157" s="73" t="s">
        <v>5</v>
      </c>
      <c r="G157" s="77" t="s">
        <v>6</v>
      </c>
      <c r="H157" s="73" t="s">
        <v>60</v>
      </c>
      <c r="I157" s="73" t="s">
        <v>133</v>
      </c>
      <c r="J157" s="89">
        <v>8</v>
      </c>
      <c r="K157" s="78">
        <v>42767</v>
      </c>
      <c r="L157" s="79">
        <v>42779</v>
      </c>
      <c r="M157" s="80" t="s">
        <v>43</v>
      </c>
      <c r="N157" s="176" t="s">
        <v>216</v>
      </c>
      <c r="O157" s="168">
        <v>35200000</v>
      </c>
      <c r="P157" s="83">
        <f t="shared" si="0"/>
        <v>0</v>
      </c>
      <c r="Q157" s="69"/>
      <c r="R157" s="70">
        <v>1</v>
      </c>
      <c r="S157" s="70">
        <v>2</v>
      </c>
      <c r="T157" s="70">
        <v>2017</v>
      </c>
      <c r="U157" s="71" t="s">
        <v>369</v>
      </c>
    </row>
    <row r="158" spans="1:21" ht="128.25" customHeight="1" x14ac:dyDescent="0.45">
      <c r="A158" s="92">
        <v>51</v>
      </c>
      <c r="B158" s="165" t="s">
        <v>5</v>
      </c>
      <c r="C158" s="158" t="s">
        <v>275</v>
      </c>
      <c r="D158" s="75" t="s">
        <v>535</v>
      </c>
      <c r="E158" s="76">
        <v>8800000</v>
      </c>
      <c r="F158" s="73" t="s">
        <v>5</v>
      </c>
      <c r="G158" s="77" t="s">
        <v>6</v>
      </c>
      <c r="H158" s="73" t="s">
        <v>60</v>
      </c>
      <c r="I158" s="73" t="s">
        <v>133</v>
      </c>
      <c r="J158" s="89">
        <v>2</v>
      </c>
      <c r="K158" s="78">
        <v>43028</v>
      </c>
      <c r="L158" s="79">
        <v>43028</v>
      </c>
      <c r="M158" s="80" t="s">
        <v>43</v>
      </c>
      <c r="N158" s="176" t="s">
        <v>540</v>
      </c>
      <c r="O158" s="168">
        <v>8800000</v>
      </c>
      <c r="P158" s="83">
        <f t="shared" si="0"/>
        <v>0</v>
      </c>
      <c r="Q158" s="69"/>
      <c r="R158" s="70">
        <v>20</v>
      </c>
      <c r="S158" s="70">
        <v>10</v>
      </c>
      <c r="T158" s="70">
        <v>2017</v>
      </c>
      <c r="U158" s="71" t="s">
        <v>369</v>
      </c>
    </row>
    <row r="159" spans="1:21" ht="114" x14ac:dyDescent="0.45">
      <c r="A159" s="92">
        <v>52</v>
      </c>
      <c r="B159" s="165" t="s">
        <v>5</v>
      </c>
      <c r="C159" s="74" t="s">
        <v>260</v>
      </c>
      <c r="D159" s="75" t="s">
        <v>67</v>
      </c>
      <c r="E159" s="76">
        <v>12000000</v>
      </c>
      <c r="F159" s="73" t="s">
        <v>5</v>
      </c>
      <c r="G159" s="77" t="s">
        <v>6</v>
      </c>
      <c r="H159" s="73" t="s">
        <v>60</v>
      </c>
      <c r="I159" s="73" t="s">
        <v>133</v>
      </c>
      <c r="J159" s="89">
        <v>10</v>
      </c>
      <c r="K159" s="78">
        <v>42767</v>
      </c>
      <c r="L159" s="79">
        <v>42773</v>
      </c>
      <c r="M159" s="80" t="s">
        <v>41</v>
      </c>
      <c r="N159" s="176" t="s">
        <v>156</v>
      </c>
      <c r="O159" s="168">
        <v>12000000</v>
      </c>
      <c r="P159" s="83">
        <f t="shared" si="0"/>
        <v>0</v>
      </c>
      <c r="Q159" s="69"/>
      <c r="R159" s="70">
        <v>1</v>
      </c>
      <c r="S159" s="70">
        <v>2</v>
      </c>
      <c r="T159" s="70">
        <v>2017</v>
      </c>
      <c r="U159" s="71" t="s">
        <v>369</v>
      </c>
    </row>
    <row r="160" spans="1:21" ht="114" x14ac:dyDescent="0.45">
      <c r="A160" s="72">
        <v>52</v>
      </c>
      <c r="B160" s="165" t="s">
        <v>5</v>
      </c>
      <c r="C160" s="74" t="s">
        <v>260</v>
      </c>
      <c r="D160" s="75" t="s">
        <v>382</v>
      </c>
      <c r="E160" s="76">
        <f>8000000-736667</f>
        <v>7263333</v>
      </c>
      <c r="F160" s="73" t="s">
        <v>5</v>
      </c>
      <c r="G160" s="77" t="s">
        <v>6</v>
      </c>
      <c r="H160" s="73" t="s">
        <v>60</v>
      </c>
      <c r="I160" s="73" t="s">
        <v>133</v>
      </c>
      <c r="J160" s="89">
        <v>4</v>
      </c>
      <c r="K160" s="78">
        <v>42954</v>
      </c>
      <c r="L160" s="79">
        <v>42954</v>
      </c>
      <c r="M160" s="80" t="s">
        <v>41</v>
      </c>
      <c r="N160" s="176" t="s">
        <v>448</v>
      </c>
      <c r="O160" s="168">
        <v>6800000</v>
      </c>
      <c r="P160" s="83">
        <f t="shared" si="0"/>
        <v>463333</v>
      </c>
      <c r="Q160" s="69"/>
      <c r="R160" s="70">
        <v>7</v>
      </c>
      <c r="S160" s="70">
        <v>8</v>
      </c>
      <c r="T160" s="70">
        <v>2017</v>
      </c>
      <c r="U160" s="71" t="s">
        <v>369</v>
      </c>
    </row>
    <row r="161" spans="1:21" ht="114" x14ac:dyDescent="0.45">
      <c r="A161" s="72">
        <v>52</v>
      </c>
      <c r="B161" s="165" t="s">
        <v>5</v>
      </c>
      <c r="C161" s="74" t="s">
        <v>260</v>
      </c>
      <c r="D161" s="75" t="s">
        <v>695</v>
      </c>
      <c r="E161" s="76">
        <v>736667</v>
      </c>
      <c r="F161" s="73" t="s">
        <v>5</v>
      </c>
      <c r="G161" s="77" t="s">
        <v>6</v>
      </c>
      <c r="H161" s="73" t="s">
        <v>60</v>
      </c>
      <c r="I161" s="73" t="s">
        <v>133</v>
      </c>
      <c r="J161" s="89" t="s">
        <v>696</v>
      </c>
      <c r="K161" s="78">
        <v>43086</v>
      </c>
      <c r="L161" s="78">
        <v>43086</v>
      </c>
      <c r="M161" s="80" t="s">
        <v>41</v>
      </c>
      <c r="N161" s="72"/>
      <c r="O161" s="169"/>
      <c r="P161" s="83">
        <f t="shared" si="0"/>
        <v>736667</v>
      </c>
      <c r="Q161" s="69"/>
      <c r="R161" s="70">
        <v>17</v>
      </c>
      <c r="S161" s="70">
        <v>12</v>
      </c>
      <c r="T161" s="70">
        <v>2017</v>
      </c>
      <c r="U161" s="71" t="s">
        <v>370</v>
      </c>
    </row>
    <row r="162" spans="1:21" ht="111.75" customHeight="1" x14ac:dyDescent="0.45">
      <c r="A162" s="72">
        <v>53</v>
      </c>
      <c r="B162" s="165" t="s">
        <v>5</v>
      </c>
      <c r="C162" s="74" t="s">
        <v>261</v>
      </c>
      <c r="D162" s="75" t="s">
        <v>244</v>
      </c>
      <c r="E162" s="76">
        <v>50000000</v>
      </c>
      <c r="F162" s="73" t="s">
        <v>5</v>
      </c>
      <c r="G162" s="77" t="s">
        <v>6</v>
      </c>
      <c r="H162" s="73" t="s">
        <v>113</v>
      </c>
      <c r="I162" s="73" t="s">
        <v>135</v>
      </c>
      <c r="J162" s="89">
        <v>4.5</v>
      </c>
      <c r="K162" s="78">
        <v>42931</v>
      </c>
      <c r="L162" s="79">
        <v>42962</v>
      </c>
      <c r="M162" s="80" t="s">
        <v>41</v>
      </c>
      <c r="N162" s="176" t="s">
        <v>475</v>
      </c>
      <c r="O162" s="168">
        <v>50000000</v>
      </c>
      <c r="P162" s="83">
        <f t="shared" si="0"/>
        <v>0</v>
      </c>
      <c r="Q162" s="69" t="s">
        <v>420</v>
      </c>
      <c r="R162" s="70">
        <v>15</v>
      </c>
      <c r="S162" s="70">
        <v>7</v>
      </c>
      <c r="T162" s="70">
        <v>2017</v>
      </c>
      <c r="U162" s="88" t="s">
        <v>369</v>
      </c>
    </row>
    <row r="163" spans="1:21" ht="114" x14ac:dyDescent="0.45">
      <c r="A163" s="72">
        <v>54</v>
      </c>
      <c r="B163" s="165" t="s">
        <v>5</v>
      </c>
      <c r="C163" s="74" t="s">
        <v>257</v>
      </c>
      <c r="D163" s="75" t="s">
        <v>379</v>
      </c>
      <c r="E163" s="76">
        <f>65000000-15000000-4430318</f>
        <v>45569682</v>
      </c>
      <c r="F163" s="73" t="s">
        <v>5</v>
      </c>
      <c r="G163" s="77" t="s">
        <v>6</v>
      </c>
      <c r="H163" s="73" t="s">
        <v>113</v>
      </c>
      <c r="I163" s="73" t="s">
        <v>135</v>
      </c>
      <c r="J163" s="73">
        <v>4.5</v>
      </c>
      <c r="K163" s="148">
        <v>42955</v>
      </c>
      <c r="L163" s="148">
        <v>42969</v>
      </c>
      <c r="M163" s="80" t="s">
        <v>41</v>
      </c>
      <c r="N163" s="176" t="s">
        <v>538</v>
      </c>
      <c r="O163" s="168">
        <v>45569682</v>
      </c>
      <c r="P163" s="83">
        <f t="shared" si="0"/>
        <v>0</v>
      </c>
      <c r="Q163" s="69" t="s">
        <v>422</v>
      </c>
      <c r="R163" s="70">
        <v>8</v>
      </c>
      <c r="S163" s="70">
        <v>8</v>
      </c>
      <c r="T163" s="70">
        <v>2017</v>
      </c>
      <c r="U163" s="71" t="s">
        <v>369</v>
      </c>
    </row>
    <row r="164" spans="1:21" ht="114" x14ac:dyDescent="0.45">
      <c r="A164" s="92">
        <v>55</v>
      </c>
      <c r="B164" s="165" t="s">
        <v>5</v>
      </c>
      <c r="C164" s="74" t="s">
        <v>257</v>
      </c>
      <c r="D164" s="75" t="s">
        <v>68</v>
      </c>
      <c r="E164" s="76">
        <v>73719800</v>
      </c>
      <c r="F164" s="73" t="s">
        <v>5</v>
      </c>
      <c r="G164" s="77" t="s">
        <v>6</v>
      </c>
      <c r="H164" s="73" t="s">
        <v>113</v>
      </c>
      <c r="I164" s="73" t="s">
        <v>135</v>
      </c>
      <c r="J164" s="73">
        <v>7</v>
      </c>
      <c r="K164" s="148">
        <v>42842</v>
      </c>
      <c r="L164" s="148">
        <v>42867</v>
      </c>
      <c r="M164" s="80" t="s">
        <v>41</v>
      </c>
      <c r="N164" s="176" t="s">
        <v>246</v>
      </c>
      <c r="O164" s="168">
        <v>73719800</v>
      </c>
      <c r="P164" s="83">
        <f t="shared" si="0"/>
        <v>0</v>
      </c>
      <c r="Q164" s="69"/>
      <c r="R164" s="70">
        <v>17</v>
      </c>
      <c r="S164" s="70">
        <v>4</v>
      </c>
      <c r="T164" s="70">
        <v>2017</v>
      </c>
      <c r="U164" s="71" t="s">
        <v>369</v>
      </c>
    </row>
    <row r="165" spans="1:21" ht="85.5" x14ac:dyDescent="0.45">
      <c r="A165" s="59">
        <v>55</v>
      </c>
      <c r="B165" s="73" t="s">
        <v>5</v>
      </c>
      <c r="C165" s="94" t="s">
        <v>257</v>
      </c>
      <c r="D165" s="75" t="s">
        <v>259</v>
      </c>
      <c r="E165" s="179">
        <f>20000000</f>
        <v>20000000</v>
      </c>
      <c r="F165" s="73" t="s">
        <v>5</v>
      </c>
      <c r="G165" s="77" t="s">
        <v>6</v>
      </c>
      <c r="H165" s="73" t="s">
        <v>112</v>
      </c>
      <c r="I165" s="73" t="s">
        <v>135</v>
      </c>
      <c r="J165" s="180">
        <v>2</v>
      </c>
      <c r="K165" s="181">
        <v>43028</v>
      </c>
      <c r="L165" s="181">
        <v>43081</v>
      </c>
      <c r="M165" s="80" t="s">
        <v>41</v>
      </c>
      <c r="N165" s="176" t="s">
        <v>675</v>
      </c>
      <c r="O165" s="168">
        <v>20000000</v>
      </c>
      <c r="P165" s="183">
        <f t="shared" si="0"/>
        <v>0</v>
      </c>
      <c r="Q165" s="69" t="s">
        <v>422</v>
      </c>
      <c r="R165" s="70">
        <v>20</v>
      </c>
      <c r="S165" s="70">
        <v>10</v>
      </c>
      <c r="T165" s="70">
        <v>2017</v>
      </c>
      <c r="U165" s="88" t="s">
        <v>369</v>
      </c>
    </row>
    <row r="166" spans="1:21" ht="85.5" x14ac:dyDescent="0.45">
      <c r="A166" s="92">
        <v>56</v>
      </c>
      <c r="B166" s="165" t="s">
        <v>5</v>
      </c>
      <c r="C166" s="74" t="s">
        <v>257</v>
      </c>
      <c r="D166" s="75" t="s">
        <v>263</v>
      </c>
      <c r="E166" s="76">
        <v>8255226</v>
      </c>
      <c r="F166" s="73" t="s">
        <v>5</v>
      </c>
      <c r="G166" s="77" t="s">
        <v>6</v>
      </c>
      <c r="H166" s="73" t="s">
        <v>109</v>
      </c>
      <c r="I166" s="73" t="s">
        <v>135</v>
      </c>
      <c r="J166" s="73">
        <v>12</v>
      </c>
      <c r="K166" s="148">
        <v>42865</v>
      </c>
      <c r="L166" s="148">
        <v>42879</v>
      </c>
      <c r="M166" s="80" t="s">
        <v>41</v>
      </c>
      <c r="N166" s="176" t="s">
        <v>252</v>
      </c>
      <c r="O166" s="168">
        <v>8255226</v>
      </c>
      <c r="P166" s="83">
        <f t="shared" si="0"/>
        <v>0</v>
      </c>
      <c r="Q166" s="69"/>
      <c r="R166" s="70">
        <v>10</v>
      </c>
      <c r="S166" s="70">
        <v>5</v>
      </c>
      <c r="T166" s="70">
        <v>2017</v>
      </c>
      <c r="U166" s="71" t="s">
        <v>369</v>
      </c>
    </row>
    <row r="167" spans="1:21" ht="85.5" x14ac:dyDescent="0.45">
      <c r="A167" s="59">
        <v>56</v>
      </c>
      <c r="B167" s="165" t="s">
        <v>5</v>
      </c>
      <c r="C167" s="74" t="s">
        <v>257</v>
      </c>
      <c r="D167" s="75" t="s">
        <v>262</v>
      </c>
      <c r="E167" s="76">
        <v>14126577</v>
      </c>
      <c r="F167" s="73" t="s">
        <v>5</v>
      </c>
      <c r="G167" s="77" t="s">
        <v>6</v>
      </c>
      <c r="H167" s="73" t="s">
        <v>109</v>
      </c>
      <c r="I167" s="73" t="s">
        <v>135</v>
      </c>
      <c r="J167" s="73">
        <v>12</v>
      </c>
      <c r="K167" s="148">
        <v>42865</v>
      </c>
      <c r="L167" s="148">
        <v>42881</v>
      </c>
      <c r="M167" s="80" t="s">
        <v>41</v>
      </c>
      <c r="N167" s="176" t="s">
        <v>252</v>
      </c>
      <c r="O167" s="168">
        <v>14126577</v>
      </c>
      <c r="P167" s="83">
        <f>E167-O167</f>
        <v>0</v>
      </c>
      <c r="Q167" s="69"/>
      <c r="R167" s="70">
        <v>10</v>
      </c>
      <c r="S167" s="70">
        <v>5</v>
      </c>
      <c r="T167" s="70">
        <v>2017</v>
      </c>
      <c r="U167" s="71" t="s">
        <v>369</v>
      </c>
    </row>
    <row r="168" spans="1:21" ht="114" customHeight="1" x14ac:dyDescent="0.45">
      <c r="A168" s="72">
        <v>57</v>
      </c>
      <c r="B168" s="165" t="s">
        <v>5</v>
      </c>
      <c r="C168" s="74" t="s">
        <v>257</v>
      </c>
      <c r="D168" s="75" t="s">
        <v>69</v>
      </c>
      <c r="E168" s="76">
        <f>50000000-38000000</f>
        <v>12000000</v>
      </c>
      <c r="F168" s="73" t="s">
        <v>5</v>
      </c>
      <c r="G168" s="77" t="s">
        <v>6</v>
      </c>
      <c r="H168" s="73" t="s">
        <v>113</v>
      </c>
      <c r="I168" s="73" t="s">
        <v>135</v>
      </c>
      <c r="J168" s="73">
        <v>12</v>
      </c>
      <c r="K168" s="148">
        <v>43035</v>
      </c>
      <c r="L168" s="148">
        <v>43069</v>
      </c>
      <c r="M168" s="80" t="s">
        <v>41</v>
      </c>
      <c r="N168" s="171" t="s">
        <v>255</v>
      </c>
      <c r="O168" s="82"/>
      <c r="P168" s="83">
        <f t="shared" si="0"/>
        <v>12000000</v>
      </c>
      <c r="Q168" s="69" t="s">
        <v>420</v>
      </c>
      <c r="R168" s="70">
        <v>22</v>
      </c>
      <c r="S168" s="70">
        <v>8</v>
      </c>
      <c r="T168" s="70">
        <v>2017</v>
      </c>
      <c r="U168" s="71" t="s">
        <v>374</v>
      </c>
    </row>
    <row r="169" spans="1:21" ht="111.75" customHeight="1" x14ac:dyDescent="0.45">
      <c r="A169" s="72">
        <v>58</v>
      </c>
      <c r="B169" s="165" t="s">
        <v>5</v>
      </c>
      <c r="C169" s="74" t="s">
        <v>257</v>
      </c>
      <c r="D169" s="75" t="s">
        <v>71</v>
      </c>
      <c r="E169" s="76">
        <f>80000000-2341012-4906750</f>
        <v>72752238</v>
      </c>
      <c r="F169" s="73" t="s">
        <v>5</v>
      </c>
      <c r="G169" s="77" t="s">
        <v>6</v>
      </c>
      <c r="H169" s="73" t="s">
        <v>113</v>
      </c>
      <c r="I169" s="73" t="s">
        <v>136</v>
      </c>
      <c r="J169" s="73">
        <v>3</v>
      </c>
      <c r="K169" s="148">
        <v>42969</v>
      </c>
      <c r="L169" s="148">
        <v>43008</v>
      </c>
      <c r="M169" s="80" t="s">
        <v>41</v>
      </c>
      <c r="N169" s="171"/>
      <c r="O169" s="82">
        <v>72752238</v>
      </c>
      <c r="P169" s="83">
        <f t="shared" si="0"/>
        <v>0</v>
      </c>
      <c r="Q169" s="69" t="s">
        <v>420</v>
      </c>
      <c r="R169" s="70">
        <v>22</v>
      </c>
      <c r="S169" s="70">
        <v>8</v>
      </c>
      <c r="T169" s="70">
        <v>2017</v>
      </c>
      <c r="U169" s="71" t="s">
        <v>584</v>
      </c>
    </row>
    <row r="170" spans="1:21" ht="85.5" x14ac:dyDescent="0.45">
      <c r="A170" s="92">
        <v>59</v>
      </c>
      <c r="B170" s="165" t="s">
        <v>5</v>
      </c>
      <c r="C170" s="94" t="s">
        <v>271</v>
      </c>
      <c r="D170" s="75" t="s">
        <v>103</v>
      </c>
      <c r="E170" s="76">
        <v>24000000</v>
      </c>
      <c r="F170" s="73" t="s">
        <v>5</v>
      </c>
      <c r="G170" s="77" t="s">
        <v>6</v>
      </c>
      <c r="H170" s="73" t="s">
        <v>60</v>
      </c>
      <c r="I170" s="73" t="s">
        <v>133</v>
      </c>
      <c r="J170" s="73">
        <v>6</v>
      </c>
      <c r="K170" s="148">
        <v>42751</v>
      </c>
      <c r="L170" s="148">
        <v>42767</v>
      </c>
      <c r="M170" s="80" t="s">
        <v>44</v>
      </c>
      <c r="N170" s="176" t="s">
        <v>157</v>
      </c>
      <c r="O170" s="168">
        <v>24000000</v>
      </c>
      <c r="P170" s="83">
        <f t="shared" si="0"/>
        <v>0</v>
      </c>
      <c r="Q170" s="69"/>
      <c r="R170" s="70">
        <v>16</v>
      </c>
      <c r="S170" s="70">
        <v>1</v>
      </c>
      <c r="T170" s="70">
        <v>2017</v>
      </c>
      <c r="U170" s="88" t="s">
        <v>369</v>
      </c>
    </row>
    <row r="171" spans="1:21" ht="85.5" x14ac:dyDescent="0.45">
      <c r="A171" s="59">
        <v>59</v>
      </c>
      <c r="B171" s="73" t="s">
        <v>5</v>
      </c>
      <c r="C171" s="94" t="s">
        <v>271</v>
      </c>
      <c r="D171" s="75" t="s">
        <v>378</v>
      </c>
      <c r="E171" s="76">
        <v>16000000</v>
      </c>
      <c r="F171" s="73" t="s">
        <v>5</v>
      </c>
      <c r="G171" s="77" t="s">
        <v>6</v>
      </c>
      <c r="H171" s="73" t="s">
        <v>60</v>
      </c>
      <c r="I171" s="73" t="s">
        <v>133</v>
      </c>
      <c r="J171" s="73">
        <v>4</v>
      </c>
      <c r="K171" s="148">
        <v>42931</v>
      </c>
      <c r="L171" s="148">
        <v>42948</v>
      </c>
      <c r="M171" s="80" t="s">
        <v>44</v>
      </c>
      <c r="N171" s="176" t="s">
        <v>443</v>
      </c>
      <c r="O171" s="168">
        <v>16000000</v>
      </c>
      <c r="P171" s="83">
        <f t="shared" si="0"/>
        <v>0</v>
      </c>
      <c r="Q171" s="69"/>
      <c r="R171" s="70">
        <v>15</v>
      </c>
      <c r="S171" s="70">
        <v>7</v>
      </c>
      <c r="T171" s="70">
        <v>2017</v>
      </c>
      <c r="U171" s="88" t="s">
        <v>369</v>
      </c>
    </row>
    <row r="172" spans="1:21" ht="85.5" x14ac:dyDescent="0.45">
      <c r="A172" s="92">
        <v>60</v>
      </c>
      <c r="B172" s="184" t="s">
        <v>5</v>
      </c>
      <c r="C172" s="94" t="s">
        <v>271</v>
      </c>
      <c r="D172" s="95" t="s">
        <v>107</v>
      </c>
      <c r="E172" s="96">
        <v>45500000</v>
      </c>
      <c r="F172" s="93" t="s">
        <v>5</v>
      </c>
      <c r="G172" s="97" t="s">
        <v>6</v>
      </c>
      <c r="H172" s="93" t="s">
        <v>60</v>
      </c>
      <c r="I172" s="93" t="s">
        <v>133</v>
      </c>
      <c r="J172" s="93">
        <v>11</v>
      </c>
      <c r="K172" s="130">
        <v>42767</v>
      </c>
      <c r="L172" s="130">
        <v>42779</v>
      </c>
      <c r="M172" s="101" t="s">
        <v>44</v>
      </c>
      <c r="N172" s="176" t="s">
        <v>158</v>
      </c>
      <c r="O172" s="168">
        <v>45500000</v>
      </c>
      <c r="P172" s="83">
        <f t="shared" si="0"/>
        <v>0</v>
      </c>
      <c r="Q172" s="69"/>
      <c r="R172" s="70">
        <v>1</v>
      </c>
      <c r="S172" s="70">
        <v>2</v>
      </c>
      <c r="T172" s="70">
        <v>2017</v>
      </c>
      <c r="U172" s="71" t="s">
        <v>369</v>
      </c>
    </row>
    <row r="173" spans="1:21" ht="85.5" x14ac:dyDescent="0.45">
      <c r="A173" s="59">
        <v>60</v>
      </c>
      <c r="B173" s="184" t="s">
        <v>5</v>
      </c>
      <c r="C173" s="94" t="s">
        <v>271</v>
      </c>
      <c r="D173" s="95" t="s">
        <v>268</v>
      </c>
      <c r="E173" s="96">
        <v>22750000</v>
      </c>
      <c r="F173" s="93" t="s">
        <v>5</v>
      </c>
      <c r="G173" s="97" t="s">
        <v>6</v>
      </c>
      <c r="H173" s="93" t="s">
        <v>60</v>
      </c>
      <c r="I173" s="93" t="s">
        <v>133</v>
      </c>
      <c r="J173" s="93">
        <v>3.5</v>
      </c>
      <c r="K173" s="130">
        <v>42982</v>
      </c>
      <c r="L173" s="130">
        <v>42984</v>
      </c>
      <c r="M173" s="101" t="s">
        <v>44</v>
      </c>
      <c r="N173" s="176" t="s">
        <v>463</v>
      </c>
      <c r="O173" s="168">
        <v>22750000</v>
      </c>
      <c r="P173" s="83">
        <f t="shared" si="0"/>
        <v>0</v>
      </c>
      <c r="Q173" s="69"/>
      <c r="R173" s="70">
        <v>4</v>
      </c>
      <c r="S173" s="70">
        <v>9</v>
      </c>
      <c r="T173" s="70">
        <v>2017</v>
      </c>
      <c r="U173" s="71" t="s">
        <v>369</v>
      </c>
    </row>
    <row r="174" spans="1:21" ht="85.5" x14ac:dyDescent="0.45">
      <c r="A174" s="72">
        <v>61</v>
      </c>
      <c r="B174" s="184" t="s">
        <v>5</v>
      </c>
      <c r="C174" s="94" t="s">
        <v>271</v>
      </c>
      <c r="D174" s="95" t="s">
        <v>116</v>
      </c>
      <c r="E174" s="185">
        <f>22500000-500000-4000000</f>
        <v>18000000</v>
      </c>
      <c r="F174" s="93" t="s">
        <v>5</v>
      </c>
      <c r="G174" s="97" t="s">
        <v>6</v>
      </c>
      <c r="H174" s="93" t="s">
        <v>60</v>
      </c>
      <c r="I174" s="93" t="s">
        <v>133</v>
      </c>
      <c r="J174" s="93">
        <v>6</v>
      </c>
      <c r="K174" s="130">
        <v>42767</v>
      </c>
      <c r="L174" s="130">
        <v>42779</v>
      </c>
      <c r="M174" s="101" t="s">
        <v>44</v>
      </c>
      <c r="N174" s="176" t="s">
        <v>159</v>
      </c>
      <c r="O174" s="168">
        <v>18000000</v>
      </c>
      <c r="P174" s="83">
        <f t="shared" si="0"/>
        <v>0</v>
      </c>
      <c r="Q174" s="69"/>
      <c r="R174" s="70">
        <v>1</v>
      </c>
      <c r="S174" s="70">
        <v>2</v>
      </c>
      <c r="T174" s="70">
        <v>2017</v>
      </c>
      <c r="U174" s="71" t="s">
        <v>369</v>
      </c>
    </row>
    <row r="175" spans="1:21" ht="57" x14ac:dyDescent="0.45">
      <c r="A175" s="72">
        <v>62</v>
      </c>
      <c r="B175" s="73" t="s">
        <v>5</v>
      </c>
      <c r="C175" s="74" t="s">
        <v>5</v>
      </c>
      <c r="D175" s="75" t="s">
        <v>72</v>
      </c>
      <c r="E175" s="169">
        <v>9898397</v>
      </c>
      <c r="F175" s="73" t="s">
        <v>5</v>
      </c>
      <c r="G175" s="77" t="s">
        <v>6</v>
      </c>
      <c r="H175" s="73" t="s">
        <v>73</v>
      </c>
      <c r="I175" s="73" t="s">
        <v>73</v>
      </c>
      <c r="J175" s="73">
        <v>11</v>
      </c>
      <c r="K175" s="148"/>
      <c r="L175" s="148"/>
      <c r="M175" s="80" t="s">
        <v>43</v>
      </c>
      <c r="N175" s="171" t="s">
        <v>253</v>
      </c>
      <c r="O175" s="82">
        <v>1716875</v>
      </c>
      <c r="P175" s="83">
        <f t="shared" si="0"/>
        <v>8181522</v>
      </c>
      <c r="Q175" s="69"/>
      <c r="U175" s="88" t="s">
        <v>590</v>
      </c>
    </row>
    <row r="176" spans="1:21" ht="85.5" x14ac:dyDescent="0.45">
      <c r="A176" s="72">
        <v>86</v>
      </c>
      <c r="B176" s="73" t="s">
        <v>5</v>
      </c>
      <c r="C176" s="74" t="s">
        <v>257</v>
      </c>
      <c r="D176" s="75" t="s">
        <v>139</v>
      </c>
      <c r="E176" s="169">
        <v>21280200</v>
      </c>
      <c r="F176" s="73" t="s">
        <v>5</v>
      </c>
      <c r="G176" s="77" t="s">
        <v>6</v>
      </c>
      <c r="H176" s="73" t="s">
        <v>112</v>
      </c>
      <c r="I176" s="73" t="s">
        <v>135</v>
      </c>
      <c r="J176" s="73">
        <v>3</v>
      </c>
      <c r="K176" s="148">
        <v>42783</v>
      </c>
      <c r="L176" s="148">
        <v>42783</v>
      </c>
      <c r="M176" s="80" t="s">
        <v>41</v>
      </c>
      <c r="N176" s="186" t="s">
        <v>223</v>
      </c>
      <c r="O176" s="168">
        <v>21280200</v>
      </c>
      <c r="P176" s="83">
        <f t="shared" si="0"/>
        <v>0</v>
      </c>
      <c r="Q176" s="69"/>
      <c r="R176" s="70">
        <v>17</v>
      </c>
      <c r="S176" s="70">
        <v>2</v>
      </c>
      <c r="T176" s="70">
        <v>2017</v>
      </c>
      <c r="U176" s="71" t="s">
        <v>369</v>
      </c>
    </row>
    <row r="177" spans="1:21" ht="114" x14ac:dyDescent="0.45">
      <c r="A177" s="92">
        <v>88</v>
      </c>
      <c r="B177" s="93" t="s">
        <v>5</v>
      </c>
      <c r="C177" s="94" t="s">
        <v>271</v>
      </c>
      <c r="D177" s="95" t="s">
        <v>143</v>
      </c>
      <c r="E177" s="185">
        <v>41000000</v>
      </c>
      <c r="F177" s="93" t="s">
        <v>5</v>
      </c>
      <c r="G177" s="97" t="s">
        <v>6</v>
      </c>
      <c r="H177" s="93" t="s">
        <v>60</v>
      </c>
      <c r="I177" s="93" t="s">
        <v>133</v>
      </c>
      <c r="J177" s="93">
        <v>5</v>
      </c>
      <c r="K177" s="130">
        <v>42781</v>
      </c>
      <c r="L177" s="130">
        <v>42786</v>
      </c>
      <c r="M177" s="101" t="s">
        <v>44</v>
      </c>
      <c r="N177" s="187" t="s">
        <v>217</v>
      </c>
      <c r="O177" s="188">
        <v>41000000</v>
      </c>
      <c r="P177" s="83">
        <f t="shared" si="0"/>
        <v>0</v>
      </c>
      <c r="Q177" s="69"/>
      <c r="R177" s="70">
        <v>15</v>
      </c>
      <c r="S177" s="70">
        <v>2</v>
      </c>
      <c r="T177" s="70">
        <v>2017</v>
      </c>
      <c r="U177" s="71" t="s">
        <v>369</v>
      </c>
    </row>
    <row r="178" spans="1:21" ht="85.5" x14ac:dyDescent="0.45">
      <c r="A178" s="59">
        <v>88</v>
      </c>
      <c r="B178" s="93" t="s">
        <v>5</v>
      </c>
      <c r="C178" s="94" t="s">
        <v>269</v>
      </c>
      <c r="D178" s="95" t="s">
        <v>143</v>
      </c>
      <c r="E178" s="185">
        <v>32800000</v>
      </c>
      <c r="F178" s="73" t="s">
        <v>5</v>
      </c>
      <c r="G178" s="77" t="s">
        <v>6</v>
      </c>
      <c r="H178" s="73" t="s">
        <v>60</v>
      </c>
      <c r="I178" s="73" t="s">
        <v>133</v>
      </c>
      <c r="J178" s="73">
        <v>4</v>
      </c>
      <c r="K178" s="148">
        <v>42951</v>
      </c>
      <c r="L178" s="148">
        <v>42957</v>
      </c>
      <c r="M178" s="101" t="s">
        <v>44</v>
      </c>
      <c r="N178" s="187" t="s">
        <v>442</v>
      </c>
      <c r="O178" s="188">
        <v>32800000</v>
      </c>
      <c r="P178" s="83">
        <f t="shared" si="0"/>
        <v>0</v>
      </c>
      <c r="Q178" s="69"/>
      <c r="R178" s="70">
        <v>4</v>
      </c>
      <c r="S178" s="70">
        <v>8</v>
      </c>
      <c r="T178" s="70">
        <v>2017</v>
      </c>
      <c r="U178" s="71" t="s">
        <v>369</v>
      </c>
    </row>
    <row r="179" spans="1:21" ht="85.5" x14ac:dyDescent="0.45">
      <c r="A179" s="72">
        <v>117</v>
      </c>
      <c r="B179" s="73" t="s">
        <v>5</v>
      </c>
      <c r="C179" s="74" t="s">
        <v>27</v>
      </c>
      <c r="D179" s="75" t="s">
        <v>192</v>
      </c>
      <c r="E179" s="169">
        <v>0</v>
      </c>
      <c r="F179" s="73" t="s">
        <v>5</v>
      </c>
      <c r="G179" s="77" t="s">
        <v>6</v>
      </c>
      <c r="H179" s="73" t="s">
        <v>60</v>
      </c>
      <c r="I179" s="73" t="s">
        <v>133</v>
      </c>
      <c r="J179" s="73">
        <v>6</v>
      </c>
      <c r="K179" s="148"/>
      <c r="L179" s="148"/>
      <c r="M179" s="80" t="s">
        <v>42</v>
      </c>
      <c r="N179" s="189" t="s">
        <v>342</v>
      </c>
      <c r="O179" s="82"/>
      <c r="P179" s="183">
        <f>E179-O179</f>
        <v>0</v>
      </c>
      <c r="Q179" s="69"/>
      <c r="U179" s="170" t="s">
        <v>423</v>
      </c>
    </row>
    <row r="180" spans="1:21" ht="85.5" x14ac:dyDescent="0.45">
      <c r="A180" s="92">
        <v>118</v>
      </c>
      <c r="B180" s="93" t="s">
        <v>5</v>
      </c>
      <c r="C180" s="94" t="s">
        <v>29</v>
      </c>
      <c r="D180" s="95" t="s">
        <v>193</v>
      </c>
      <c r="E180" s="185">
        <v>0</v>
      </c>
      <c r="F180" s="93" t="s">
        <v>5</v>
      </c>
      <c r="G180" s="97" t="s">
        <v>6</v>
      </c>
      <c r="H180" s="93" t="s">
        <v>113</v>
      </c>
      <c r="I180" s="93" t="s">
        <v>135</v>
      </c>
      <c r="J180" s="93">
        <v>6</v>
      </c>
      <c r="K180" s="130"/>
      <c r="L180" s="130"/>
      <c r="M180" s="101" t="s">
        <v>42</v>
      </c>
      <c r="N180" s="189" t="s">
        <v>342</v>
      </c>
      <c r="O180" s="182"/>
      <c r="P180" s="183">
        <f>E180-O180</f>
        <v>0</v>
      </c>
      <c r="Q180" s="69"/>
      <c r="U180" s="71" t="s">
        <v>423</v>
      </c>
    </row>
    <row r="181" spans="1:21" ht="85.5" x14ac:dyDescent="0.45">
      <c r="A181" s="72">
        <v>123</v>
      </c>
      <c r="B181" s="73" t="s">
        <v>5</v>
      </c>
      <c r="C181" s="74" t="s">
        <v>271</v>
      </c>
      <c r="D181" s="75" t="s">
        <v>248</v>
      </c>
      <c r="E181" s="76">
        <f>24000000</f>
        <v>24000000</v>
      </c>
      <c r="F181" s="73" t="s">
        <v>5</v>
      </c>
      <c r="G181" s="77" t="s">
        <v>6</v>
      </c>
      <c r="H181" s="73" t="s">
        <v>60</v>
      </c>
      <c r="I181" s="73" t="s">
        <v>133</v>
      </c>
      <c r="J181" s="73">
        <v>6</v>
      </c>
      <c r="K181" s="148">
        <v>42880</v>
      </c>
      <c r="L181" s="148">
        <v>42887</v>
      </c>
      <c r="M181" s="80" t="s">
        <v>44</v>
      </c>
      <c r="N181" s="187" t="s">
        <v>673</v>
      </c>
      <c r="O181" s="188">
        <v>24000000</v>
      </c>
      <c r="P181" s="183">
        <f t="shared" ref="P181:P191" si="3">E181-O181</f>
        <v>0</v>
      </c>
      <c r="Q181" s="69"/>
      <c r="R181" s="70">
        <v>25</v>
      </c>
      <c r="S181" s="70">
        <v>5</v>
      </c>
      <c r="T181" s="70">
        <v>2017</v>
      </c>
      <c r="U181" s="71" t="s">
        <v>369</v>
      </c>
    </row>
    <row r="182" spans="1:21" ht="114" x14ac:dyDescent="0.45">
      <c r="A182" s="72">
        <v>123</v>
      </c>
      <c r="B182" s="73" t="s">
        <v>5</v>
      </c>
      <c r="C182" s="74" t="s">
        <v>271</v>
      </c>
      <c r="D182" s="75" t="s">
        <v>674</v>
      </c>
      <c r="E182" s="76">
        <v>4000000</v>
      </c>
      <c r="F182" s="73" t="s">
        <v>5</v>
      </c>
      <c r="G182" s="77" t="s">
        <v>6</v>
      </c>
      <c r="H182" s="73" t="s">
        <v>60</v>
      </c>
      <c r="I182" s="73" t="s">
        <v>133</v>
      </c>
      <c r="J182" s="73">
        <v>1</v>
      </c>
      <c r="K182" s="148">
        <v>43066</v>
      </c>
      <c r="L182" s="148">
        <v>43070</v>
      </c>
      <c r="M182" s="80" t="s">
        <v>44</v>
      </c>
      <c r="N182" s="187" t="s">
        <v>703</v>
      </c>
      <c r="O182" s="188">
        <v>4000000</v>
      </c>
      <c r="P182" s="183">
        <f t="shared" si="3"/>
        <v>0</v>
      </c>
      <c r="Q182" s="69"/>
      <c r="R182" s="70">
        <v>27</v>
      </c>
      <c r="S182" s="70">
        <v>12</v>
      </c>
      <c r="T182" s="70">
        <v>2017</v>
      </c>
      <c r="U182" s="71" t="s">
        <v>369</v>
      </c>
    </row>
    <row r="183" spans="1:21" ht="85.5" x14ac:dyDescent="0.45">
      <c r="A183" s="72">
        <v>158</v>
      </c>
      <c r="B183" s="73" t="s">
        <v>5</v>
      </c>
      <c r="C183" s="74" t="s">
        <v>272</v>
      </c>
      <c r="D183" s="75" t="s">
        <v>277</v>
      </c>
      <c r="E183" s="174">
        <f>7000000*4-21000000-7000000</f>
        <v>0</v>
      </c>
      <c r="F183" s="73" t="s">
        <v>5</v>
      </c>
      <c r="G183" s="77" t="s">
        <v>6</v>
      </c>
      <c r="H183" s="73" t="s">
        <v>60</v>
      </c>
      <c r="I183" s="73" t="s">
        <v>133</v>
      </c>
      <c r="J183" s="73">
        <v>4</v>
      </c>
      <c r="K183" s="148">
        <v>42962</v>
      </c>
      <c r="L183" s="175">
        <v>42979</v>
      </c>
      <c r="M183" s="80" t="s">
        <v>43</v>
      </c>
      <c r="N183" s="184"/>
      <c r="O183" s="185"/>
      <c r="P183" s="183">
        <f t="shared" si="3"/>
        <v>0</v>
      </c>
      <c r="Q183" s="69"/>
      <c r="R183" s="70">
        <v>15</v>
      </c>
      <c r="S183" s="70">
        <v>8</v>
      </c>
      <c r="T183" s="70">
        <v>2017</v>
      </c>
      <c r="U183" s="71" t="s">
        <v>423</v>
      </c>
    </row>
    <row r="184" spans="1:21" ht="85.5" x14ac:dyDescent="0.45">
      <c r="A184" s="72">
        <v>159</v>
      </c>
      <c r="B184" s="73" t="s">
        <v>5</v>
      </c>
      <c r="C184" s="74" t="s">
        <v>272</v>
      </c>
      <c r="D184" s="75" t="s">
        <v>278</v>
      </c>
      <c r="E184" s="174">
        <f>6500000*5</f>
        <v>32500000</v>
      </c>
      <c r="F184" s="73" t="s">
        <v>5</v>
      </c>
      <c r="G184" s="77" t="s">
        <v>6</v>
      </c>
      <c r="H184" s="73" t="s">
        <v>60</v>
      </c>
      <c r="I184" s="73" t="s">
        <v>133</v>
      </c>
      <c r="J184" s="73">
        <v>5</v>
      </c>
      <c r="K184" s="148">
        <v>42931</v>
      </c>
      <c r="L184" s="175">
        <v>42948</v>
      </c>
      <c r="M184" s="80" t="s">
        <v>43</v>
      </c>
      <c r="N184" s="187" t="s">
        <v>360</v>
      </c>
      <c r="O184" s="188">
        <v>32500000</v>
      </c>
      <c r="P184" s="183">
        <f t="shared" si="3"/>
        <v>0</v>
      </c>
      <c r="Q184" s="69"/>
      <c r="R184" s="70">
        <v>15</v>
      </c>
      <c r="S184" s="70">
        <v>7</v>
      </c>
      <c r="T184" s="70">
        <v>2017</v>
      </c>
      <c r="U184" s="71" t="s">
        <v>369</v>
      </c>
    </row>
    <row r="185" spans="1:21" ht="85.5" x14ac:dyDescent="0.45">
      <c r="A185" s="72">
        <v>160</v>
      </c>
      <c r="B185" s="73" t="s">
        <v>5</v>
      </c>
      <c r="C185" s="74" t="s">
        <v>272</v>
      </c>
      <c r="D185" s="75" t="s">
        <v>279</v>
      </c>
      <c r="E185" s="174">
        <f>6000000*5</f>
        <v>30000000</v>
      </c>
      <c r="F185" s="73" t="s">
        <v>5</v>
      </c>
      <c r="G185" s="77" t="s">
        <v>6</v>
      </c>
      <c r="H185" s="73" t="s">
        <v>60</v>
      </c>
      <c r="I185" s="73" t="s">
        <v>133</v>
      </c>
      <c r="J185" s="73">
        <v>5</v>
      </c>
      <c r="K185" s="148">
        <v>42931</v>
      </c>
      <c r="L185" s="175">
        <v>42948</v>
      </c>
      <c r="M185" s="80" t="s">
        <v>43</v>
      </c>
      <c r="N185" s="187" t="s">
        <v>362</v>
      </c>
      <c r="O185" s="188">
        <v>30000000</v>
      </c>
      <c r="P185" s="183">
        <f t="shared" si="3"/>
        <v>0</v>
      </c>
      <c r="Q185" s="69"/>
      <c r="R185" s="70">
        <v>15</v>
      </c>
      <c r="S185" s="70">
        <v>7</v>
      </c>
      <c r="T185" s="70">
        <v>2017</v>
      </c>
      <c r="U185" s="71" t="s">
        <v>369</v>
      </c>
    </row>
    <row r="186" spans="1:21" ht="85.5" x14ac:dyDescent="0.45">
      <c r="A186" s="72">
        <v>160</v>
      </c>
      <c r="B186" s="73" t="s">
        <v>1</v>
      </c>
      <c r="C186" s="74" t="s">
        <v>272</v>
      </c>
      <c r="D186" s="75" t="s">
        <v>699</v>
      </c>
      <c r="E186" s="174">
        <v>4800000</v>
      </c>
      <c r="F186" s="73" t="s">
        <v>1</v>
      </c>
      <c r="G186" s="77" t="s">
        <v>6</v>
      </c>
      <c r="H186" s="73" t="s">
        <v>60</v>
      </c>
      <c r="I186" s="73" t="s">
        <v>133</v>
      </c>
      <c r="J186" s="73" t="s">
        <v>700</v>
      </c>
      <c r="K186" s="148">
        <v>43075</v>
      </c>
      <c r="L186" s="148">
        <v>43075</v>
      </c>
      <c r="M186" s="80" t="s">
        <v>43</v>
      </c>
      <c r="N186" s="187" t="s">
        <v>717</v>
      </c>
      <c r="O186" s="188">
        <v>4800000</v>
      </c>
      <c r="P186" s="183">
        <f t="shared" si="3"/>
        <v>0</v>
      </c>
      <c r="Q186" s="69"/>
      <c r="R186" s="70">
        <v>6</v>
      </c>
      <c r="S186" s="70">
        <v>12</v>
      </c>
      <c r="T186" s="70">
        <v>2017</v>
      </c>
      <c r="U186" s="71" t="s">
        <v>369</v>
      </c>
    </row>
    <row r="187" spans="1:21" ht="134.25" customHeight="1" x14ac:dyDescent="0.45">
      <c r="A187" s="72">
        <v>161</v>
      </c>
      <c r="B187" s="73" t="s">
        <v>5</v>
      </c>
      <c r="C187" s="74" t="s">
        <v>272</v>
      </c>
      <c r="D187" s="75" t="s">
        <v>678</v>
      </c>
      <c r="E187" s="174">
        <f>8000000*4-24000000</f>
        <v>8000000</v>
      </c>
      <c r="F187" s="73" t="s">
        <v>5</v>
      </c>
      <c r="G187" s="77" t="s">
        <v>6</v>
      </c>
      <c r="H187" s="73" t="s">
        <v>60</v>
      </c>
      <c r="I187" s="73" t="s">
        <v>133</v>
      </c>
      <c r="J187" s="73">
        <v>1</v>
      </c>
      <c r="K187" s="148">
        <v>43059</v>
      </c>
      <c r="L187" s="175">
        <v>43070</v>
      </c>
      <c r="M187" s="80" t="s">
        <v>43</v>
      </c>
      <c r="N187" s="184"/>
      <c r="O187" s="185"/>
      <c r="P187" s="183">
        <f t="shared" si="3"/>
        <v>8000000</v>
      </c>
      <c r="Q187" s="69"/>
      <c r="R187" s="70">
        <v>20</v>
      </c>
      <c r="S187" s="70">
        <v>11</v>
      </c>
      <c r="T187" s="70">
        <v>2017</v>
      </c>
      <c r="U187" s="88" t="s">
        <v>374</v>
      </c>
    </row>
    <row r="188" spans="1:21" ht="85.5" x14ac:dyDescent="0.45">
      <c r="A188" s="72">
        <v>162</v>
      </c>
      <c r="B188" s="73" t="s">
        <v>5</v>
      </c>
      <c r="C188" s="74" t="s">
        <v>275</v>
      </c>
      <c r="D188" s="75" t="s">
        <v>676</v>
      </c>
      <c r="E188" s="174">
        <f>4000000+2400445</f>
        <v>6400445</v>
      </c>
      <c r="F188" s="73" t="s">
        <v>5</v>
      </c>
      <c r="G188" s="77" t="s">
        <v>6</v>
      </c>
      <c r="H188" s="73" t="s">
        <v>70</v>
      </c>
      <c r="I188" s="73" t="s">
        <v>135</v>
      </c>
      <c r="J188" s="73">
        <v>1</v>
      </c>
      <c r="K188" s="148">
        <v>43067</v>
      </c>
      <c r="L188" s="175">
        <v>43074</v>
      </c>
      <c r="M188" s="80" t="s">
        <v>43</v>
      </c>
      <c r="N188" s="187" t="s">
        <v>721</v>
      </c>
      <c r="O188" s="188">
        <v>6400445</v>
      </c>
      <c r="P188" s="183">
        <f t="shared" si="3"/>
        <v>0</v>
      </c>
      <c r="Q188" s="69" t="s">
        <v>420</v>
      </c>
      <c r="R188" s="70">
        <v>15</v>
      </c>
      <c r="S188" s="70">
        <v>9</v>
      </c>
      <c r="T188" s="70">
        <v>2017</v>
      </c>
      <c r="U188" s="88" t="s">
        <v>369</v>
      </c>
    </row>
    <row r="189" spans="1:21" ht="85.5" x14ac:dyDescent="0.45">
      <c r="A189" s="72">
        <v>163</v>
      </c>
      <c r="B189" s="73" t="s">
        <v>5</v>
      </c>
      <c r="C189" s="74" t="s">
        <v>275</v>
      </c>
      <c r="D189" s="75" t="s">
        <v>282</v>
      </c>
      <c r="E189" s="190">
        <f>3000000*5</f>
        <v>15000000</v>
      </c>
      <c r="F189" s="73" t="s">
        <v>5</v>
      </c>
      <c r="G189" s="77" t="s">
        <v>6</v>
      </c>
      <c r="H189" s="73" t="s">
        <v>60</v>
      </c>
      <c r="I189" s="73" t="s">
        <v>133</v>
      </c>
      <c r="J189" s="93">
        <v>5</v>
      </c>
      <c r="K189" s="130">
        <v>42962</v>
      </c>
      <c r="L189" s="191">
        <v>42750</v>
      </c>
      <c r="M189" s="80" t="s">
        <v>43</v>
      </c>
      <c r="N189" s="187" t="s">
        <v>447</v>
      </c>
      <c r="O189" s="188">
        <v>13400000</v>
      </c>
      <c r="P189" s="183">
        <f t="shared" si="3"/>
        <v>1600000</v>
      </c>
      <c r="Q189" s="69"/>
      <c r="R189" s="70">
        <v>15</v>
      </c>
      <c r="S189" s="70">
        <v>8</v>
      </c>
      <c r="T189" s="70">
        <v>2017</v>
      </c>
      <c r="U189" s="71" t="s">
        <v>369</v>
      </c>
    </row>
    <row r="190" spans="1:21" ht="57" x14ac:dyDescent="0.45">
      <c r="A190" s="72">
        <v>164</v>
      </c>
      <c r="B190" s="73" t="s">
        <v>5</v>
      </c>
      <c r="C190" s="74" t="s">
        <v>275</v>
      </c>
      <c r="D190" s="75" t="s">
        <v>283</v>
      </c>
      <c r="E190" s="174">
        <f>7000000*4</f>
        <v>28000000</v>
      </c>
      <c r="F190" s="73" t="s">
        <v>5</v>
      </c>
      <c r="G190" s="77" t="s">
        <v>6</v>
      </c>
      <c r="H190" s="73" t="s">
        <v>60</v>
      </c>
      <c r="I190" s="73" t="s">
        <v>133</v>
      </c>
      <c r="J190" s="73">
        <v>4</v>
      </c>
      <c r="K190" s="148">
        <v>43001</v>
      </c>
      <c r="L190" s="175">
        <v>43009</v>
      </c>
      <c r="M190" s="80" t="s">
        <v>43</v>
      </c>
      <c r="N190" s="187" t="s">
        <v>519</v>
      </c>
      <c r="O190" s="188">
        <v>23100000</v>
      </c>
      <c r="P190" s="183">
        <f t="shared" si="3"/>
        <v>4900000</v>
      </c>
      <c r="Q190" s="69"/>
      <c r="R190" s="70">
        <v>23</v>
      </c>
      <c r="S190" s="70">
        <v>9</v>
      </c>
      <c r="T190" s="70">
        <v>2017</v>
      </c>
      <c r="U190" s="71" t="s">
        <v>369</v>
      </c>
    </row>
    <row r="191" spans="1:21" ht="100.5" customHeight="1" x14ac:dyDescent="0.45">
      <c r="A191" s="72">
        <v>165</v>
      </c>
      <c r="B191" s="73" t="s">
        <v>5</v>
      </c>
      <c r="C191" s="74" t="s">
        <v>284</v>
      </c>
      <c r="D191" s="75" t="s">
        <v>531</v>
      </c>
      <c r="E191" s="174">
        <f>6000000*5-13500000</f>
        <v>16500000</v>
      </c>
      <c r="F191" s="73" t="s">
        <v>5</v>
      </c>
      <c r="G191" s="77" t="s">
        <v>6</v>
      </c>
      <c r="H191" s="73" t="s">
        <v>60</v>
      </c>
      <c r="I191" s="73" t="s">
        <v>133</v>
      </c>
      <c r="J191" s="73">
        <v>3</v>
      </c>
      <c r="K191" s="148">
        <v>42941</v>
      </c>
      <c r="L191" s="175">
        <v>42948</v>
      </c>
      <c r="M191" s="80" t="s">
        <v>43</v>
      </c>
      <c r="N191" s="187" t="s">
        <v>376</v>
      </c>
      <c r="O191" s="188">
        <v>16500000</v>
      </c>
      <c r="P191" s="83">
        <f t="shared" si="3"/>
        <v>0</v>
      </c>
      <c r="Q191" s="69"/>
      <c r="R191" s="70">
        <v>25</v>
      </c>
      <c r="S191" s="70">
        <v>7</v>
      </c>
      <c r="T191" s="70">
        <v>2017</v>
      </c>
      <c r="U191" s="71" t="s">
        <v>369</v>
      </c>
    </row>
    <row r="192" spans="1:21" ht="85.5" x14ac:dyDescent="0.45">
      <c r="A192" s="72">
        <v>166</v>
      </c>
      <c r="B192" s="73" t="s">
        <v>5</v>
      </c>
      <c r="C192" s="74" t="s">
        <v>257</v>
      </c>
      <c r="D192" s="75" t="s">
        <v>598</v>
      </c>
      <c r="E192" s="174">
        <f>20000000-10000000</f>
        <v>10000000</v>
      </c>
      <c r="F192" s="73" t="s">
        <v>5</v>
      </c>
      <c r="G192" s="77" t="s">
        <v>6</v>
      </c>
      <c r="H192" s="73" t="s">
        <v>109</v>
      </c>
      <c r="I192" s="73" t="s">
        <v>135</v>
      </c>
      <c r="J192" s="73">
        <v>1</v>
      </c>
      <c r="K192" s="148">
        <v>43031</v>
      </c>
      <c r="L192" s="175">
        <v>43062</v>
      </c>
      <c r="M192" s="80" t="s">
        <v>41</v>
      </c>
      <c r="N192" s="187" t="s">
        <v>712</v>
      </c>
      <c r="O192" s="188">
        <v>9000000</v>
      </c>
      <c r="P192" s="183">
        <f t="shared" si="0"/>
        <v>1000000</v>
      </c>
      <c r="Q192" s="69" t="s">
        <v>422</v>
      </c>
      <c r="R192" s="70">
        <v>1</v>
      </c>
      <c r="S192" s="70">
        <v>9</v>
      </c>
      <c r="T192" s="70">
        <v>2017</v>
      </c>
      <c r="U192" s="88" t="s">
        <v>369</v>
      </c>
    </row>
    <row r="193" spans="1:21" ht="85.5" x14ac:dyDescent="0.45">
      <c r="A193" s="92">
        <v>167</v>
      </c>
      <c r="B193" s="73" t="s">
        <v>5</v>
      </c>
      <c r="C193" s="74" t="s">
        <v>257</v>
      </c>
      <c r="D193" s="75" t="s">
        <v>352</v>
      </c>
      <c r="E193" s="190">
        <f>10000000+10000000</f>
        <v>20000000</v>
      </c>
      <c r="F193" s="73" t="s">
        <v>5</v>
      </c>
      <c r="G193" s="77" t="s">
        <v>6</v>
      </c>
      <c r="H193" s="73" t="s">
        <v>70</v>
      </c>
      <c r="I193" s="73" t="s">
        <v>136</v>
      </c>
      <c r="J193" s="93">
        <v>3</v>
      </c>
      <c r="K193" s="130">
        <v>43040</v>
      </c>
      <c r="L193" s="191">
        <v>43084</v>
      </c>
      <c r="M193" s="80" t="s">
        <v>41</v>
      </c>
      <c r="N193" s="435" t="s">
        <v>258</v>
      </c>
      <c r="O193" s="182"/>
      <c r="P193" s="183">
        <f t="shared" si="0"/>
        <v>20000000</v>
      </c>
      <c r="Q193" s="69" t="s">
        <v>420</v>
      </c>
      <c r="R193" s="70">
        <v>15</v>
      </c>
      <c r="S193" s="70">
        <v>9</v>
      </c>
      <c r="T193" s="70">
        <v>2017</v>
      </c>
      <c r="U193" s="88" t="s">
        <v>374</v>
      </c>
    </row>
    <row r="194" spans="1:21" ht="85.5" x14ac:dyDescent="0.45">
      <c r="A194" s="132">
        <v>168</v>
      </c>
      <c r="B194" s="73" t="s">
        <v>5</v>
      </c>
      <c r="C194" s="158" t="s">
        <v>353</v>
      </c>
      <c r="D194" s="75" t="s">
        <v>387</v>
      </c>
      <c r="E194" s="174">
        <v>6593200</v>
      </c>
      <c r="F194" s="73" t="s">
        <v>5</v>
      </c>
      <c r="G194" s="77" t="s">
        <v>6</v>
      </c>
      <c r="H194" s="73" t="s">
        <v>60</v>
      </c>
      <c r="I194" s="73" t="s">
        <v>135</v>
      </c>
      <c r="J194" s="73">
        <v>3</v>
      </c>
      <c r="K194" s="148">
        <v>43009</v>
      </c>
      <c r="L194" s="175">
        <v>43011</v>
      </c>
      <c r="M194" s="80" t="s">
        <v>41</v>
      </c>
      <c r="N194" s="187" t="s">
        <v>718</v>
      </c>
      <c r="O194" s="188">
        <v>6560000</v>
      </c>
      <c r="P194" s="183">
        <f t="shared" si="0"/>
        <v>33200</v>
      </c>
      <c r="Q194" s="69" t="s">
        <v>421</v>
      </c>
      <c r="R194" s="70">
        <v>1</v>
      </c>
      <c r="S194" s="70">
        <v>10</v>
      </c>
      <c r="T194" s="70">
        <v>2017</v>
      </c>
      <c r="U194" s="88" t="s">
        <v>369</v>
      </c>
    </row>
    <row r="195" spans="1:21" ht="85.5" x14ac:dyDescent="0.45">
      <c r="A195" s="72">
        <v>169</v>
      </c>
      <c r="B195" s="73" t="s">
        <v>5</v>
      </c>
      <c r="C195" s="94" t="s">
        <v>269</v>
      </c>
      <c r="D195" s="75" t="s">
        <v>426</v>
      </c>
      <c r="E195" s="76">
        <f>32500000-6500000</f>
        <v>26000000</v>
      </c>
      <c r="F195" s="73" t="s">
        <v>5</v>
      </c>
      <c r="G195" s="77" t="s">
        <v>6</v>
      </c>
      <c r="H195" s="73" t="s">
        <v>60</v>
      </c>
      <c r="I195" s="73" t="s">
        <v>133</v>
      </c>
      <c r="J195" s="73">
        <v>5</v>
      </c>
      <c r="K195" s="148">
        <v>42931</v>
      </c>
      <c r="L195" s="148">
        <v>42948</v>
      </c>
      <c r="M195" s="80" t="s">
        <v>44</v>
      </c>
      <c r="N195" s="187" t="s">
        <v>427</v>
      </c>
      <c r="O195" s="188">
        <v>26000000</v>
      </c>
      <c r="P195" s="183">
        <f t="shared" ref="P195:P202" si="4">E195-O195</f>
        <v>0</v>
      </c>
      <c r="Q195" s="69"/>
      <c r="R195" s="70">
        <v>15</v>
      </c>
      <c r="S195" s="70">
        <v>7</v>
      </c>
      <c r="T195" s="70">
        <v>2017</v>
      </c>
      <c r="U195" s="71" t="s">
        <v>369</v>
      </c>
    </row>
    <row r="196" spans="1:21" ht="114" x14ac:dyDescent="0.45">
      <c r="A196" s="92">
        <v>170</v>
      </c>
      <c r="B196" s="93" t="s">
        <v>5</v>
      </c>
      <c r="C196" s="93" t="s">
        <v>270</v>
      </c>
      <c r="D196" s="94" t="s">
        <v>390</v>
      </c>
      <c r="E196" s="96">
        <f>300000000-202000000</f>
        <v>98000000</v>
      </c>
      <c r="F196" s="93" t="s">
        <v>5</v>
      </c>
      <c r="G196" s="97" t="s">
        <v>6</v>
      </c>
      <c r="H196" s="93" t="s">
        <v>60</v>
      </c>
      <c r="I196" s="93" t="s">
        <v>136</v>
      </c>
      <c r="J196" s="93">
        <v>3</v>
      </c>
      <c r="K196" s="100">
        <v>42958</v>
      </c>
      <c r="L196" s="100">
        <v>43008</v>
      </c>
      <c r="M196" s="101" t="s">
        <v>44</v>
      </c>
      <c r="N196" s="90" t="s">
        <v>518</v>
      </c>
      <c r="O196" s="188">
        <v>98000000</v>
      </c>
      <c r="P196" s="183">
        <f t="shared" si="4"/>
        <v>0</v>
      </c>
      <c r="Q196" s="69" t="s">
        <v>420</v>
      </c>
      <c r="R196" s="70">
        <v>11</v>
      </c>
      <c r="S196" s="70">
        <v>8</v>
      </c>
      <c r="T196" s="70">
        <v>2017</v>
      </c>
      <c r="U196" s="88" t="s">
        <v>369</v>
      </c>
    </row>
    <row r="197" spans="1:21" ht="134.25" customHeight="1" x14ac:dyDescent="0.45">
      <c r="A197" s="92">
        <v>174</v>
      </c>
      <c r="B197" s="93" t="s">
        <v>5</v>
      </c>
      <c r="C197" s="94" t="s">
        <v>457</v>
      </c>
      <c r="D197" s="95" t="s">
        <v>458</v>
      </c>
      <c r="E197" s="96">
        <v>110000000</v>
      </c>
      <c r="F197" s="93" t="s">
        <v>5</v>
      </c>
      <c r="G197" s="97" t="s">
        <v>6</v>
      </c>
      <c r="H197" s="93" t="s">
        <v>113</v>
      </c>
      <c r="I197" s="93" t="s">
        <v>389</v>
      </c>
      <c r="J197" s="93">
        <v>3</v>
      </c>
      <c r="K197" s="130">
        <v>42962</v>
      </c>
      <c r="L197" s="130">
        <v>42993</v>
      </c>
      <c r="M197" s="101" t="s">
        <v>44</v>
      </c>
      <c r="N197" s="187" t="s">
        <v>684</v>
      </c>
      <c r="O197" s="188">
        <v>110000000</v>
      </c>
      <c r="P197" s="183">
        <f t="shared" si="4"/>
        <v>0</v>
      </c>
      <c r="Q197" s="69" t="s">
        <v>422</v>
      </c>
      <c r="R197" s="70">
        <v>15</v>
      </c>
      <c r="S197" s="70">
        <v>8</v>
      </c>
      <c r="T197" s="70">
        <v>2017</v>
      </c>
      <c r="U197" s="71" t="s">
        <v>369</v>
      </c>
    </row>
    <row r="198" spans="1:21" ht="85.5" x14ac:dyDescent="0.45">
      <c r="A198" s="92">
        <v>175</v>
      </c>
      <c r="B198" s="93" t="s">
        <v>5</v>
      </c>
      <c r="C198" s="94" t="s">
        <v>270</v>
      </c>
      <c r="D198" s="95" t="s">
        <v>398</v>
      </c>
      <c r="E198" s="420">
        <f>60000000-2638952-4784962-15600000-36976086</f>
        <v>0</v>
      </c>
      <c r="F198" s="93" t="s">
        <v>5</v>
      </c>
      <c r="G198" s="97" t="s">
        <v>6</v>
      </c>
      <c r="H198" s="73" t="s">
        <v>60</v>
      </c>
      <c r="I198" s="93" t="s">
        <v>308</v>
      </c>
      <c r="J198" s="93">
        <v>3</v>
      </c>
      <c r="K198" s="130">
        <v>42962</v>
      </c>
      <c r="L198" s="130">
        <v>42967</v>
      </c>
      <c r="M198" s="101" t="s">
        <v>44</v>
      </c>
      <c r="N198" s="192"/>
      <c r="O198" s="182"/>
      <c r="P198" s="183">
        <f t="shared" si="4"/>
        <v>0</v>
      </c>
      <c r="Q198" s="69" t="s">
        <v>420</v>
      </c>
      <c r="R198" s="70">
        <v>15</v>
      </c>
      <c r="S198" s="70">
        <v>8</v>
      </c>
      <c r="T198" s="70">
        <v>2017</v>
      </c>
      <c r="U198" s="71" t="s">
        <v>423</v>
      </c>
    </row>
    <row r="199" spans="1:21" ht="108" customHeight="1" x14ac:dyDescent="0.45">
      <c r="A199" s="92">
        <v>176</v>
      </c>
      <c r="B199" s="93" t="s">
        <v>5</v>
      </c>
      <c r="C199" s="94" t="s">
        <v>271</v>
      </c>
      <c r="D199" s="95" t="s">
        <v>399</v>
      </c>
      <c r="E199" s="96">
        <f>32000000-4533342</f>
        <v>27466658</v>
      </c>
      <c r="F199" s="93" t="s">
        <v>5</v>
      </c>
      <c r="G199" s="97" t="s">
        <v>6</v>
      </c>
      <c r="H199" s="73" t="s">
        <v>60</v>
      </c>
      <c r="I199" s="93" t="s">
        <v>308</v>
      </c>
      <c r="J199" s="93">
        <v>4</v>
      </c>
      <c r="K199" s="130">
        <v>42970</v>
      </c>
      <c r="L199" s="130">
        <v>42978</v>
      </c>
      <c r="M199" s="101" t="s">
        <v>44</v>
      </c>
      <c r="N199" s="187" t="s">
        <v>472</v>
      </c>
      <c r="O199" s="188">
        <v>27466658</v>
      </c>
      <c r="P199" s="183">
        <f t="shared" si="4"/>
        <v>0</v>
      </c>
      <c r="Q199" s="69" t="s">
        <v>421</v>
      </c>
      <c r="R199" s="70">
        <v>23</v>
      </c>
      <c r="S199" s="70">
        <v>8</v>
      </c>
      <c r="T199" s="70">
        <v>2017</v>
      </c>
      <c r="U199" s="71" t="s">
        <v>369</v>
      </c>
    </row>
    <row r="200" spans="1:21" ht="91.5" customHeight="1" x14ac:dyDescent="0.45">
      <c r="A200" s="92">
        <v>177</v>
      </c>
      <c r="B200" s="73" t="s">
        <v>5</v>
      </c>
      <c r="C200" s="74" t="s">
        <v>353</v>
      </c>
      <c r="D200" s="95" t="s">
        <v>386</v>
      </c>
      <c r="E200" s="96">
        <v>5433800</v>
      </c>
      <c r="F200" s="93" t="s">
        <v>5</v>
      </c>
      <c r="G200" s="97" t="s">
        <v>285</v>
      </c>
      <c r="H200" s="73" t="s">
        <v>60</v>
      </c>
      <c r="I200" s="93" t="s">
        <v>135</v>
      </c>
      <c r="J200" s="93">
        <v>1</v>
      </c>
      <c r="K200" s="130">
        <v>42962</v>
      </c>
      <c r="L200" s="130">
        <v>42965</v>
      </c>
      <c r="M200" s="80" t="s">
        <v>41</v>
      </c>
      <c r="N200" s="187" t="s">
        <v>452</v>
      </c>
      <c r="O200" s="188">
        <v>5421900</v>
      </c>
      <c r="P200" s="183">
        <f t="shared" si="4"/>
        <v>11900</v>
      </c>
      <c r="Q200" s="69" t="s">
        <v>421</v>
      </c>
      <c r="R200" s="70">
        <v>15</v>
      </c>
      <c r="S200" s="70">
        <v>8</v>
      </c>
      <c r="T200" s="70">
        <v>2017</v>
      </c>
      <c r="U200" s="71" t="s">
        <v>369</v>
      </c>
    </row>
    <row r="201" spans="1:21" ht="98.25" customHeight="1" x14ac:dyDescent="0.45">
      <c r="A201" s="92">
        <v>178</v>
      </c>
      <c r="B201" s="73" t="s">
        <v>5</v>
      </c>
      <c r="C201" s="158" t="s">
        <v>353</v>
      </c>
      <c r="D201" s="95" t="s">
        <v>385</v>
      </c>
      <c r="E201" s="96">
        <v>7973000</v>
      </c>
      <c r="F201" s="93" t="s">
        <v>5</v>
      </c>
      <c r="G201" s="97" t="s">
        <v>285</v>
      </c>
      <c r="H201" s="73" t="s">
        <v>60</v>
      </c>
      <c r="I201" s="93" t="s">
        <v>135</v>
      </c>
      <c r="J201" s="93">
        <v>3</v>
      </c>
      <c r="K201" s="130">
        <v>42956</v>
      </c>
      <c r="L201" s="130">
        <v>43008</v>
      </c>
      <c r="M201" s="80" t="s">
        <v>41</v>
      </c>
      <c r="N201" s="187" t="s">
        <v>441</v>
      </c>
      <c r="O201" s="188">
        <v>7973000</v>
      </c>
      <c r="P201" s="183">
        <f t="shared" si="4"/>
        <v>0</v>
      </c>
      <c r="Q201" s="247" t="s">
        <v>421</v>
      </c>
      <c r="R201" s="70">
        <v>9</v>
      </c>
      <c r="S201" s="70">
        <v>8</v>
      </c>
      <c r="T201" s="70">
        <v>2017</v>
      </c>
      <c r="U201" s="71" t="s">
        <v>369</v>
      </c>
    </row>
    <row r="202" spans="1:21" ht="98.25" customHeight="1" x14ac:dyDescent="0.45">
      <c r="A202" s="92">
        <v>179</v>
      </c>
      <c r="B202" s="93" t="s">
        <v>5</v>
      </c>
      <c r="C202" s="94" t="s">
        <v>257</v>
      </c>
      <c r="D202" s="95" t="s">
        <v>380</v>
      </c>
      <c r="E202" s="96">
        <v>15000000</v>
      </c>
      <c r="F202" s="93" t="s">
        <v>5</v>
      </c>
      <c r="G202" s="97" t="s">
        <v>285</v>
      </c>
      <c r="H202" s="97" t="s">
        <v>70</v>
      </c>
      <c r="I202" s="93" t="s">
        <v>135</v>
      </c>
      <c r="J202" s="93">
        <v>4</v>
      </c>
      <c r="K202" s="130">
        <v>43040</v>
      </c>
      <c r="L202" s="130">
        <v>43084</v>
      </c>
      <c r="M202" s="101" t="s">
        <v>41</v>
      </c>
      <c r="N202" s="192" t="s">
        <v>381</v>
      </c>
      <c r="O202" s="182"/>
      <c r="P202" s="183">
        <f t="shared" si="4"/>
        <v>15000000</v>
      </c>
      <c r="Q202" s="69" t="s">
        <v>422</v>
      </c>
      <c r="R202" s="70">
        <v>15</v>
      </c>
      <c r="S202" s="70">
        <v>10</v>
      </c>
      <c r="T202" s="70">
        <v>2017</v>
      </c>
      <c r="U202" s="88" t="s">
        <v>370</v>
      </c>
    </row>
    <row r="203" spans="1:21" ht="98.25" customHeight="1" x14ac:dyDescent="0.45">
      <c r="A203" s="72">
        <v>183</v>
      </c>
      <c r="B203" s="73" t="s">
        <v>5</v>
      </c>
      <c r="C203" s="74" t="s">
        <v>272</v>
      </c>
      <c r="D203" s="75" t="s">
        <v>465</v>
      </c>
      <c r="E203" s="76">
        <v>24000000</v>
      </c>
      <c r="F203" s="73" t="s">
        <v>5</v>
      </c>
      <c r="G203" s="77" t="s">
        <v>285</v>
      </c>
      <c r="H203" s="73" t="s">
        <v>60</v>
      </c>
      <c r="I203" s="73" t="s">
        <v>133</v>
      </c>
      <c r="J203" s="73">
        <v>3</v>
      </c>
      <c r="K203" s="148">
        <v>42983</v>
      </c>
      <c r="L203" s="148">
        <v>42984</v>
      </c>
      <c r="M203" s="80" t="s">
        <v>42</v>
      </c>
      <c r="N203" s="187" t="s">
        <v>480</v>
      </c>
      <c r="O203" s="188">
        <v>24000000</v>
      </c>
      <c r="P203" s="183">
        <f t="shared" ref="P203:P212" si="5">E203-O203</f>
        <v>0</v>
      </c>
      <c r="Q203" s="70"/>
      <c r="R203" s="70">
        <v>5</v>
      </c>
      <c r="S203" s="70">
        <v>9</v>
      </c>
      <c r="T203" s="70">
        <v>2017</v>
      </c>
      <c r="U203" s="71" t="s">
        <v>369</v>
      </c>
    </row>
    <row r="204" spans="1:21" ht="98.25" customHeight="1" x14ac:dyDescent="0.45">
      <c r="A204" s="153">
        <v>243</v>
      </c>
      <c r="B204" s="93" t="s">
        <v>5</v>
      </c>
      <c r="C204" s="243" t="s">
        <v>284</v>
      </c>
      <c r="D204" s="243" t="s">
        <v>532</v>
      </c>
      <c r="E204" s="244">
        <v>13500000</v>
      </c>
      <c r="F204" s="93" t="s">
        <v>5</v>
      </c>
      <c r="G204" s="93" t="s">
        <v>285</v>
      </c>
      <c r="H204" s="93" t="s">
        <v>60</v>
      </c>
      <c r="I204" s="93" t="s">
        <v>133</v>
      </c>
      <c r="J204" s="93">
        <v>2</v>
      </c>
      <c r="K204" s="191">
        <v>43026</v>
      </c>
      <c r="L204" s="191">
        <v>43040</v>
      </c>
      <c r="M204" s="245" t="s">
        <v>43</v>
      </c>
      <c r="N204" s="176" t="s">
        <v>632</v>
      </c>
      <c r="O204" s="168">
        <v>11600000</v>
      </c>
      <c r="P204" s="246">
        <f t="shared" si="5"/>
        <v>1900000</v>
      </c>
      <c r="Q204" s="70"/>
      <c r="R204" s="70">
        <v>18</v>
      </c>
      <c r="S204" s="70">
        <v>10</v>
      </c>
      <c r="T204" s="70">
        <v>2017</v>
      </c>
      <c r="U204" s="88" t="s">
        <v>369</v>
      </c>
    </row>
    <row r="205" spans="1:21" ht="98.25" customHeight="1" x14ac:dyDescent="0.45">
      <c r="A205" s="153">
        <v>244</v>
      </c>
      <c r="B205" s="184" t="s">
        <v>5</v>
      </c>
      <c r="C205" s="94" t="s">
        <v>257</v>
      </c>
      <c r="D205" s="243" t="s">
        <v>583</v>
      </c>
      <c r="E205" s="244">
        <v>38000000</v>
      </c>
      <c r="F205" s="93" t="s">
        <v>5</v>
      </c>
      <c r="G205" s="93" t="s">
        <v>285</v>
      </c>
      <c r="H205" s="93" t="s">
        <v>109</v>
      </c>
      <c r="I205" s="93" t="s">
        <v>135</v>
      </c>
      <c r="J205" s="93">
        <v>1</v>
      </c>
      <c r="K205" s="191">
        <v>43069</v>
      </c>
      <c r="L205" s="191">
        <v>43099</v>
      </c>
      <c r="M205" s="245" t="s">
        <v>41</v>
      </c>
      <c r="N205" s="318"/>
      <c r="O205" s="319"/>
      <c r="P205" s="246">
        <f t="shared" si="5"/>
        <v>38000000</v>
      </c>
      <c r="Q205" s="70"/>
      <c r="R205" s="70">
        <v>30</v>
      </c>
      <c r="S205" s="70">
        <v>11</v>
      </c>
      <c r="T205" s="70">
        <v>2017</v>
      </c>
      <c r="U205" s="88" t="s">
        <v>370</v>
      </c>
    </row>
    <row r="206" spans="1:21" ht="98.25" customHeight="1" x14ac:dyDescent="0.45">
      <c r="A206" s="207">
        <v>245</v>
      </c>
      <c r="B206" s="73" t="s">
        <v>5</v>
      </c>
      <c r="C206" s="74" t="s">
        <v>270</v>
      </c>
      <c r="D206" s="75" t="s">
        <v>637</v>
      </c>
      <c r="E206" s="76">
        <v>9410282</v>
      </c>
      <c r="F206" s="73" t="s">
        <v>5</v>
      </c>
      <c r="G206" s="77" t="s">
        <v>6</v>
      </c>
      <c r="H206" s="73" t="s">
        <v>109</v>
      </c>
      <c r="I206" s="73" t="s">
        <v>308</v>
      </c>
      <c r="J206" s="73">
        <v>2</v>
      </c>
      <c r="K206" s="148">
        <v>43041</v>
      </c>
      <c r="L206" s="148">
        <v>43047</v>
      </c>
      <c r="M206" s="80" t="s">
        <v>44</v>
      </c>
      <c r="N206" s="176" t="s">
        <v>694</v>
      </c>
      <c r="O206" s="168">
        <v>9410282</v>
      </c>
      <c r="P206" s="246">
        <f t="shared" si="5"/>
        <v>0</v>
      </c>
      <c r="Q206" s="70"/>
      <c r="R206" s="70">
        <v>2</v>
      </c>
      <c r="S206" s="70">
        <v>11</v>
      </c>
      <c r="T206" s="70">
        <v>2017</v>
      </c>
      <c r="U206" s="88" t="s">
        <v>369</v>
      </c>
    </row>
    <row r="207" spans="1:21" ht="98.25" customHeight="1" x14ac:dyDescent="0.45">
      <c r="A207" s="207">
        <v>246</v>
      </c>
      <c r="B207" s="73" t="s">
        <v>5</v>
      </c>
      <c r="C207" s="74" t="s">
        <v>270</v>
      </c>
      <c r="D207" s="75" t="s">
        <v>644</v>
      </c>
      <c r="E207" s="457">
        <f>4784962+1093750</f>
        <v>5878712</v>
      </c>
      <c r="F207" s="73" t="s">
        <v>5</v>
      </c>
      <c r="G207" s="77" t="s">
        <v>6</v>
      </c>
      <c r="H207" s="97" t="s">
        <v>109</v>
      </c>
      <c r="I207" s="73" t="s">
        <v>308</v>
      </c>
      <c r="J207" s="73">
        <v>1</v>
      </c>
      <c r="K207" s="175">
        <v>43047</v>
      </c>
      <c r="L207" s="175">
        <v>43049</v>
      </c>
      <c r="M207" s="80" t="s">
        <v>44</v>
      </c>
      <c r="N207" s="320"/>
      <c r="O207" s="431"/>
      <c r="P207" s="246">
        <f t="shared" si="5"/>
        <v>5878712</v>
      </c>
      <c r="Q207" s="70"/>
      <c r="R207" s="70">
        <v>8</v>
      </c>
      <c r="S207" s="70">
        <v>11</v>
      </c>
      <c r="T207" s="70">
        <v>2017</v>
      </c>
      <c r="U207" s="88" t="s">
        <v>374</v>
      </c>
    </row>
    <row r="208" spans="1:21" ht="98.25" customHeight="1" x14ac:dyDescent="0.45">
      <c r="A208" s="153">
        <v>247</v>
      </c>
      <c r="B208" s="93" t="s">
        <v>5</v>
      </c>
      <c r="C208" s="94" t="s">
        <v>270</v>
      </c>
      <c r="D208" s="243" t="s">
        <v>640</v>
      </c>
      <c r="E208" s="244">
        <f>20506750-1093750</f>
        <v>19413000</v>
      </c>
      <c r="F208" s="93" t="s">
        <v>5</v>
      </c>
      <c r="G208" s="97" t="s">
        <v>6</v>
      </c>
      <c r="H208" s="97" t="s">
        <v>70</v>
      </c>
      <c r="I208" s="93" t="s">
        <v>308</v>
      </c>
      <c r="J208" s="93">
        <v>1</v>
      </c>
      <c r="K208" s="191">
        <v>43047</v>
      </c>
      <c r="L208" s="191">
        <v>43049</v>
      </c>
      <c r="M208" s="101" t="s">
        <v>44</v>
      </c>
      <c r="N208" s="176" t="s">
        <v>685</v>
      </c>
      <c r="O208" s="168">
        <v>19413000</v>
      </c>
      <c r="P208" s="246">
        <f t="shared" si="5"/>
        <v>0</v>
      </c>
      <c r="Q208" s="70"/>
      <c r="R208" s="70">
        <v>8</v>
      </c>
      <c r="S208" s="70">
        <v>11</v>
      </c>
      <c r="T208" s="70">
        <v>2017</v>
      </c>
      <c r="U208" s="88" t="s">
        <v>369</v>
      </c>
    </row>
    <row r="209" spans="1:21" ht="111.75" customHeight="1" thickBot="1" x14ac:dyDescent="0.5">
      <c r="A209" s="231">
        <v>248</v>
      </c>
      <c r="B209" s="110" t="s">
        <v>5</v>
      </c>
      <c r="C209" s="111" t="s">
        <v>270</v>
      </c>
      <c r="D209" s="232" t="s">
        <v>655</v>
      </c>
      <c r="E209" s="421">
        <v>48509428</v>
      </c>
      <c r="F209" s="110" t="s">
        <v>5</v>
      </c>
      <c r="G209" s="113" t="s">
        <v>6</v>
      </c>
      <c r="H209" s="110" t="s">
        <v>113</v>
      </c>
      <c r="I209" s="110" t="s">
        <v>135</v>
      </c>
      <c r="J209" s="110">
        <v>1</v>
      </c>
      <c r="K209" s="419">
        <v>43048</v>
      </c>
      <c r="L209" s="419">
        <v>43054</v>
      </c>
      <c r="M209" s="116" t="s">
        <v>44</v>
      </c>
      <c r="N209" s="417" t="s">
        <v>691</v>
      </c>
      <c r="O209" s="155">
        <v>48509428</v>
      </c>
      <c r="P209" s="193">
        <f t="shared" si="5"/>
        <v>0</v>
      </c>
      <c r="Q209" s="70"/>
      <c r="R209" s="70">
        <v>9</v>
      </c>
      <c r="S209" s="70">
        <v>11</v>
      </c>
      <c r="T209" s="70">
        <v>2017</v>
      </c>
      <c r="U209" s="88" t="s">
        <v>369</v>
      </c>
    </row>
    <row r="210" spans="1:21" ht="86.25" thickTop="1" x14ac:dyDescent="0.45">
      <c r="A210" s="132">
        <v>63</v>
      </c>
      <c r="B210" s="157" t="s">
        <v>36</v>
      </c>
      <c r="C210" s="158" t="s">
        <v>74</v>
      </c>
      <c r="D210" s="62" t="s">
        <v>359</v>
      </c>
      <c r="E210" s="63">
        <f>36600000</f>
        <v>36600000</v>
      </c>
      <c r="F210" s="60" t="s">
        <v>7</v>
      </c>
      <c r="G210" s="64" t="s">
        <v>6</v>
      </c>
      <c r="H210" s="60" t="s">
        <v>60</v>
      </c>
      <c r="I210" s="60" t="s">
        <v>133</v>
      </c>
      <c r="J210" s="60">
        <v>10</v>
      </c>
      <c r="K210" s="65">
        <v>42748</v>
      </c>
      <c r="L210" s="66">
        <v>42751</v>
      </c>
      <c r="M210" s="67" t="s">
        <v>41</v>
      </c>
      <c r="N210" s="194" t="s">
        <v>577</v>
      </c>
      <c r="O210" s="162">
        <v>36600000</v>
      </c>
      <c r="P210" s="427">
        <f t="shared" si="5"/>
        <v>0</v>
      </c>
      <c r="Q210" s="247"/>
      <c r="R210" s="70">
        <v>13</v>
      </c>
      <c r="S210" s="70">
        <v>1</v>
      </c>
      <c r="T210" s="70">
        <v>2017</v>
      </c>
      <c r="U210" s="88" t="s">
        <v>369</v>
      </c>
    </row>
    <row r="211" spans="1:21" ht="85.5" x14ac:dyDescent="0.45">
      <c r="A211" s="59">
        <v>63</v>
      </c>
      <c r="B211" s="165" t="s">
        <v>36</v>
      </c>
      <c r="C211" s="195" t="s">
        <v>74</v>
      </c>
      <c r="D211" s="75" t="s">
        <v>359</v>
      </c>
      <c r="E211" s="76">
        <f>33346666-203333</f>
        <v>33143333</v>
      </c>
      <c r="F211" s="73" t="s">
        <v>7</v>
      </c>
      <c r="G211" s="77" t="s">
        <v>6</v>
      </c>
      <c r="H211" s="73" t="s">
        <v>60</v>
      </c>
      <c r="I211" s="73" t="s">
        <v>133</v>
      </c>
      <c r="J211" s="73">
        <v>5.5</v>
      </c>
      <c r="K211" s="78">
        <v>42926</v>
      </c>
      <c r="L211" s="79">
        <v>42933</v>
      </c>
      <c r="M211" s="80" t="s">
        <v>41</v>
      </c>
      <c r="N211" s="176" t="s">
        <v>578</v>
      </c>
      <c r="O211" s="168">
        <v>33143333</v>
      </c>
      <c r="P211" s="427">
        <f t="shared" si="5"/>
        <v>0</v>
      </c>
      <c r="Q211" s="247"/>
      <c r="R211" s="70">
        <v>10</v>
      </c>
      <c r="S211" s="70">
        <v>7</v>
      </c>
      <c r="T211" s="70">
        <v>2017</v>
      </c>
      <c r="U211" s="71" t="s">
        <v>369</v>
      </c>
    </row>
    <row r="212" spans="1:21" ht="85.5" x14ac:dyDescent="0.45">
      <c r="A212" s="72">
        <v>64</v>
      </c>
      <c r="B212" s="165" t="s">
        <v>36</v>
      </c>
      <c r="C212" s="195" t="s">
        <v>74</v>
      </c>
      <c r="D212" s="75" t="s">
        <v>75</v>
      </c>
      <c r="E212" s="76">
        <f>35376667-3740000-25000000-6636667</f>
        <v>0</v>
      </c>
      <c r="F212" s="73" t="s">
        <v>7</v>
      </c>
      <c r="G212" s="77" t="s">
        <v>6</v>
      </c>
      <c r="H212" s="73" t="s">
        <v>60</v>
      </c>
      <c r="I212" s="73" t="s">
        <v>133</v>
      </c>
      <c r="J212" s="73">
        <v>10</v>
      </c>
      <c r="K212" s="78"/>
      <c r="L212" s="79"/>
      <c r="M212" s="80" t="s">
        <v>41</v>
      </c>
      <c r="N212" s="72"/>
      <c r="O212" s="169"/>
      <c r="P212" s="196">
        <f t="shared" si="5"/>
        <v>0</v>
      </c>
      <c r="Q212" s="247"/>
      <c r="U212" s="88" t="s">
        <v>423</v>
      </c>
    </row>
    <row r="213" spans="1:21" ht="85.5" x14ac:dyDescent="0.45">
      <c r="A213" s="92">
        <v>65</v>
      </c>
      <c r="B213" s="165" t="s">
        <v>36</v>
      </c>
      <c r="C213" s="195" t="s">
        <v>74</v>
      </c>
      <c r="D213" s="75" t="s">
        <v>75</v>
      </c>
      <c r="E213" s="76">
        <v>49000000</v>
      </c>
      <c r="F213" s="73" t="s">
        <v>7</v>
      </c>
      <c r="G213" s="77" t="s">
        <v>6</v>
      </c>
      <c r="H213" s="73" t="s">
        <v>60</v>
      </c>
      <c r="I213" s="73" t="s">
        <v>133</v>
      </c>
      <c r="J213" s="73">
        <v>10</v>
      </c>
      <c r="K213" s="78">
        <v>42748</v>
      </c>
      <c r="L213" s="79">
        <v>42751</v>
      </c>
      <c r="M213" s="80" t="s">
        <v>41</v>
      </c>
      <c r="N213" s="176" t="s">
        <v>264</v>
      </c>
      <c r="O213" s="168">
        <v>49000000</v>
      </c>
      <c r="P213" s="196">
        <f t="shared" ref="P213:P219" si="6">E213-O213</f>
        <v>0</v>
      </c>
      <c r="Q213" s="247"/>
      <c r="R213" s="70">
        <v>13</v>
      </c>
      <c r="S213" s="70">
        <v>1</v>
      </c>
      <c r="T213" s="70">
        <v>2017</v>
      </c>
      <c r="U213" s="88" t="s">
        <v>369</v>
      </c>
    </row>
    <row r="214" spans="1:21" ht="85.5" x14ac:dyDescent="0.45">
      <c r="A214" s="59">
        <v>65</v>
      </c>
      <c r="B214" s="165" t="s">
        <v>36</v>
      </c>
      <c r="C214" s="195" t="s">
        <v>74</v>
      </c>
      <c r="D214" s="75" t="s">
        <v>340</v>
      </c>
      <c r="E214" s="76">
        <f>26366667-1866667</f>
        <v>24500000</v>
      </c>
      <c r="F214" s="73" t="s">
        <v>7</v>
      </c>
      <c r="G214" s="77" t="s">
        <v>6</v>
      </c>
      <c r="H214" s="73" t="s">
        <v>60</v>
      </c>
      <c r="I214" s="73" t="s">
        <v>133</v>
      </c>
      <c r="J214" s="73">
        <v>4</v>
      </c>
      <c r="K214" s="78">
        <v>42979</v>
      </c>
      <c r="L214" s="79">
        <v>42986</v>
      </c>
      <c r="M214" s="80" t="s">
        <v>41</v>
      </c>
      <c r="N214" s="176" t="s">
        <v>530</v>
      </c>
      <c r="O214" s="168">
        <v>24500000</v>
      </c>
      <c r="P214" s="196">
        <f t="shared" si="6"/>
        <v>0</v>
      </c>
      <c r="Q214" s="247"/>
      <c r="R214" s="70">
        <v>1</v>
      </c>
      <c r="S214" s="70">
        <v>9</v>
      </c>
      <c r="T214" s="70">
        <v>2017</v>
      </c>
      <c r="U214" s="71" t="s">
        <v>369</v>
      </c>
    </row>
    <row r="215" spans="1:21" s="87" customFormat="1" ht="85.5" x14ac:dyDescent="0.45">
      <c r="A215" s="92">
        <v>66</v>
      </c>
      <c r="B215" s="165" t="s">
        <v>36</v>
      </c>
      <c r="C215" s="195" t="s">
        <v>74</v>
      </c>
      <c r="D215" s="75" t="s">
        <v>117</v>
      </c>
      <c r="E215" s="76">
        <v>48800000</v>
      </c>
      <c r="F215" s="73" t="s">
        <v>7</v>
      </c>
      <c r="G215" s="77" t="s">
        <v>6</v>
      </c>
      <c r="H215" s="73" t="s">
        <v>60</v>
      </c>
      <c r="I215" s="73" t="s">
        <v>133</v>
      </c>
      <c r="J215" s="89">
        <v>10</v>
      </c>
      <c r="K215" s="78">
        <v>42748</v>
      </c>
      <c r="L215" s="79">
        <v>42782</v>
      </c>
      <c r="M215" s="80" t="s">
        <v>41</v>
      </c>
      <c r="N215" s="176" t="s">
        <v>579</v>
      </c>
      <c r="O215" s="168">
        <v>48800000</v>
      </c>
      <c r="P215" s="196">
        <f t="shared" si="6"/>
        <v>0</v>
      </c>
      <c r="Q215" s="247"/>
      <c r="R215" s="87">
        <v>13</v>
      </c>
      <c r="S215" s="87">
        <v>1</v>
      </c>
      <c r="T215" s="87">
        <v>2017</v>
      </c>
      <c r="U215" s="88" t="s">
        <v>369</v>
      </c>
    </row>
    <row r="216" spans="1:21" s="87" customFormat="1" ht="85.5" x14ac:dyDescent="0.45">
      <c r="A216" s="59">
        <v>66</v>
      </c>
      <c r="B216" s="165" t="s">
        <v>36</v>
      </c>
      <c r="C216" s="195" t="s">
        <v>74</v>
      </c>
      <c r="D216" s="197" t="s">
        <v>341</v>
      </c>
      <c r="E216" s="76">
        <v>15250000</v>
      </c>
      <c r="F216" s="198" t="s">
        <v>7</v>
      </c>
      <c r="G216" s="73" t="s">
        <v>6</v>
      </c>
      <c r="H216" s="77" t="s">
        <v>60</v>
      </c>
      <c r="I216" s="73" t="s">
        <v>133</v>
      </c>
      <c r="J216" s="73">
        <v>2.5</v>
      </c>
      <c r="K216" s="78">
        <v>43009</v>
      </c>
      <c r="L216" s="79">
        <v>43023</v>
      </c>
      <c r="M216" s="80" t="s">
        <v>41</v>
      </c>
      <c r="N216" s="176" t="s">
        <v>541</v>
      </c>
      <c r="O216" s="168">
        <v>15250000</v>
      </c>
      <c r="P216" s="196">
        <f t="shared" si="6"/>
        <v>0</v>
      </c>
      <c r="Q216" s="247"/>
      <c r="R216" s="87">
        <v>1</v>
      </c>
      <c r="S216" s="87">
        <v>10</v>
      </c>
      <c r="T216" s="87">
        <v>2017</v>
      </c>
      <c r="U216" s="88" t="s">
        <v>369</v>
      </c>
    </row>
    <row r="217" spans="1:21" s="87" customFormat="1" ht="114" x14ac:dyDescent="0.45">
      <c r="A217" s="92">
        <v>67</v>
      </c>
      <c r="B217" s="165" t="s">
        <v>36</v>
      </c>
      <c r="C217" s="195" t="s">
        <v>76</v>
      </c>
      <c r="D217" s="75" t="s">
        <v>77</v>
      </c>
      <c r="E217" s="76">
        <v>20400000</v>
      </c>
      <c r="F217" s="73" t="s">
        <v>7</v>
      </c>
      <c r="G217" s="77" t="s">
        <v>6</v>
      </c>
      <c r="H217" s="73" t="s">
        <v>60</v>
      </c>
      <c r="I217" s="73" t="s">
        <v>133</v>
      </c>
      <c r="J217" s="89">
        <v>11</v>
      </c>
      <c r="K217" s="78">
        <v>42748</v>
      </c>
      <c r="L217" s="79">
        <v>42767</v>
      </c>
      <c r="M217" s="80" t="s">
        <v>41</v>
      </c>
      <c r="N217" s="90" t="s">
        <v>265</v>
      </c>
      <c r="O217" s="91">
        <v>20400000</v>
      </c>
      <c r="P217" s="200">
        <f t="shared" si="6"/>
        <v>0</v>
      </c>
      <c r="Q217" s="201"/>
      <c r="R217" s="87">
        <v>13</v>
      </c>
      <c r="S217" s="87">
        <v>1</v>
      </c>
      <c r="T217" s="87">
        <v>2017</v>
      </c>
      <c r="U217" s="88" t="s">
        <v>369</v>
      </c>
    </row>
    <row r="218" spans="1:21" s="87" customFormat="1" ht="114" x14ac:dyDescent="0.45">
      <c r="A218" s="59">
        <v>67</v>
      </c>
      <c r="B218" s="165" t="s">
        <v>36</v>
      </c>
      <c r="C218" s="195" t="s">
        <v>76</v>
      </c>
      <c r="D218" s="197" t="s">
        <v>77</v>
      </c>
      <c r="E218" s="76">
        <f>9860000+3740000+322228</f>
        <v>13922228</v>
      </c>
      <c r="F218" s="198" t="s">
        <v>7</v>
      </c>
      <c r="G218" s="73" t="s">
        <v>6</v>
      </c>
      <c r="H218" s="77" t="s">
        <v>60</v>
      </c>
      <c r="I218" s="73" t="s">
        <v>133</v>
      </c>
      <c r="J218" s="73">
        <v>4</v>
      </c>
      <c r="K218" s="78">
        <v>42949</v>
      </c>
      <c r="L218" s="79">
        <v>42953</v>
      </c>
      <c r="M218" s="80" t="s">
        <v>41</v>
      </c>
      <c r="N218" s="90" t="s">
        <v>461</v>
      </c>
      <c r="O218" s="91">
        <v>13600000</v>
      </c>
      <c r="P218" s="200">
        <f t="shared" si="6"/>
        <v>322228</v>
      </c>
      <c r="Q218" s="201"/>
      <c r="R218" s="87">
        <v>2</v>
      </c>
      <c r="S218" s="87">
        <v>8</v>
      </c>
      <c r="T218" s="87">
        <v>2017</v>
      </c>
      <c r="U218" s="88" t="s">
        <v>369</v>
      </c>
    </row>
    <row r="219" spans="1:21" s="87" customFormat="1" ht="125.25" customHeight="1" x14ac:dyDescent="0.45">
      <c r="A219" s="59">
        <v>180</v>
      </c>
      <c r="B219" s="165" t="s">
        <v>36</v>
      </c>
      <c r="C219" s="195" t="s">
        <v>76</v>
      </c>
      <c r="D219" s="197" t="s">
        <v>459</v>
      </c>
      <c r="E219" s="76">
        <f>25000000-410000</f>
        <v>24590000</v>
      </c>
      <c r="F219" s="198" t="s">
        <v>7</v>
      </c>
      <c r="G219" s="73" t="s">
        <v>6</v>
      </c>
      <c r="H219" s="77" t="s">
        <v>60</v>
      </c>
      <c r="I219" s="73" t="s">
        <v>133</v>
      </c>
      <c r="J219" s="73">
        <v>3</v>
      </c>
      <c r="K219" s="78">
        <v>42962</v>
      </c>
      <c r="L219" s="79">
        <v>42965</v>
      </c>
      <c r="M219" s="80" t="s">
        <v>41</v>
      </c>
      <c r="N219" s="90" t="s">
        <v>446</v>
      </c>
      <c r="O219" s="91">
        <v>24590000</v>
      </c>
      <c r="P219" s="200">
        <f t="shared" si="6"/>
        <v>0</v>
      </c>
      <c r="Q219" s="201"/>
      <c r="R219" s="87">
        <v>15</v>
      </c>
      <c r="S219" s="87">
        <v>8</v>
      </c>
      <c r="T219" s="87">
        <v>2017</v>
      </c>
      <c r="U219" s="88" t="s">
        <v>369</v>
      </c>
    </row>
    <row r="220" spans="1:21" s="87" customFormat="1" ht="114" x14ac:dyDescent="0.45">
      <c r="A220" s="59">
        <v>68</v>
      </c>
      <c r="B220" s="165" t="s">
        <v>36</v>
      </c>
      <c r="C220" s="195" t="s">
        <v>78</v>
      </c>
      <c r="D220" s="75" t="s">
        <v>79</v>
      </c>
      <c r="E220" s="76">
        <v>6500000</v>
      </c>
      <c r="F220" s="129" t="s">
        <v>8</v>
      </c>
      <c r="G220" s="77" t="s">
        <v>6</v>
      </c>
      <c r="H220" s="73" t="s">
        <v>109</v>
      </c>
      <c r="I220" s="73" t="s">
        <v>136</v>
      </c>
      <c r="J220" s="89">
        <v>4</v>
      </c>
      <c r="K220" s="78">
        <v>43061</v>
      </c>
      <c r="L220" s="79">
        <v>42353</v>
      </c>
      <c r="M220" s="80" t="s">
        <v>41</v>
      </c>
      <c r="N220" s="150" t="s">
        <v>241</v>
      </c>
      <c r="O220" s="107"/>
      <c r="P220" s="200">
        <f t="shared" ref="P220:P248" si="7">E220-O220</f>
        <v>6500000</v>
      </c>
      <c r="Q220" s="201" t="s">
        <v>422</v>
      </c>
      <c r="R220" s="87">
        <v>1</v>
      </c>
      <c r="S220" s="87">
        <v>10</v>
      </c>
      <c r="T220" s="87">
        <v>2017</v>
      </c>
      <c r="U220" s="88" t="s">
        <v>374</v>
      </c>
    </row>
    <row r="221" spans="1:21" s="87" customFormat="1" ht="114" x14ac:dyDescent="0.45">
      <c r="A221" s="72">
        <v>121</v>
      </c>
      <c r="B221" s="165" t="s">
        <v>36</v>
      </c>
      <c r="C221" s="195" t="s">
        <v>78</v>
      </c>
      <c r="D221" s="75" t="s">
        <v>239</v>
      </c>
      <c r="E221" s="76">
        <v>2000000</v>
      </c>
      <c r="F221" s="129" t="s">
        <v>8</v>
      </c>
      <c r="G221" s="77" t="s">
        <v>6</v>
      </c>
      <c r="H221" s="73" t="s">
        <v>70</v>
      </c>
      <c r="I221" s="73" t="s">
        <v>136</v>
      </c>
      <c r="J221" s="89">
        <v>1</v>
      </c>
      <c r="K221" s="78">
        <v>42850</v>
      </c>
      <c r="L221" s="79">
        <v>42873</v>
      </c>
      <c r="M221" s="80" t="s">
        <v>41</v>
      </c>
      <c r="N221" s="90" t="s">
        <v>245</v>
      </c>
      <c r="O221" s="91">
        <v>2000000</v>
      </c>
      <c r="P221" s="200">
        <f t="shared" si="7"/>
        <v>0</v>
      </c>
      <c r="Q221" s="201"/>
      <c r="R221" s="87">
        <v>25</v>
      </c>
      <c r="S221" s="87">
        <v>4</v>
      </c>
      <c r="T221" s="87">
        <v>2017</v>
      </c>
      <c r="U221" s="88" t="s">
        <v>369</v>
      </c>
    </row>
    <row r="222" spans="1:21" s="87" customFormat="1" ht="114" x14ac:dyDescent="0.45">
      <c r="A222" s="72">
        <v>254</v>
      </c>
      <c r="B222" s="165" t="s">
        <v>36</v>
      </c>
      <c r="C222" s="195" t="s">
        <v>78</v>
      </c>
      <c r="D222" s="75" t="s">
        <v>697</v>
      </c>
      <c r="E222" s="76">
        <v>4000000</v>
      </c>
      <c r="F222" s="129" t="s">
        <v>8</v>
      </c>
      <c r="G222" s="77" t="s">
        <v>6</v>
      </c>
      <c r="H222" s="73" t="s">
        <v>70</v>
      </c>
      <c r="I222" s="73" t="s">
        <v>136</v>
      </c>
      <c r="J222" s="73" t="s">
        <v>698</v>
      </c>
      <c r="K222" s="78">
        <v>43082</v>
      </c>
      <c r="L222" s="79">
        <v>43100</v>
      </c>
      <c r="M222" s="80" t="s">
        <v>41</v>
      </c>
      <c r="N222" s="432"/>
      <c r="O222" s="205"/>
      <c r="P222" s="200">
        <f t="shared" si="7"/>
        <v>4000000</v>
      </c>
      <c r="Q222" s="201"/>
      <c r="R222" s="87">
        <v>13</v>
      </c>
      <c r="S222" s="87">
        <v>12</v>
      </c>
      <c r="T222" s="87">
        <v>2017</v>
      </c>
      <c r="U222" s="88" t="s">
        <v>370</v>
      </c>
    </row>
    <row r="223" spans="1:21" s="87" customFormat="1" ht="114" x14ac:dyDescent="0.45">
      <c r="A223" s="72">
        <v>69</v>
      </c>
      <c r="B223" s="165" t="s">
        <v>36</v>
      </c>
      <c r="C223" s="195" t="s">
        <v>76</v>
      </c>
      <c r="D223" s="75" t="s">
        <v>80</v>
      </c>
      <c r="E223" s="76">
        <v>23300000</v>
      </c>
      <c r="F223" s="129" t="s">
        <v>9</v>
      </c>
      <c r="G223" s="77" t="s">
        <v>6</v>
      </c>
      <c r="H223" s="73" t="s">
        <v>109</v>
      </c>
      <c r="I223" s="73" t="s">
        <v>135</v>
      </c>
      <c r="J223" s="89">
        <v>1</v>
      </c>
      <c r="K223" s="148">
        <v>43031</v>
      </c>
      <c r="L223" s="175">
        <v>43062</v>
      </c>
      <c r="M223" s="80" t="s">
        <v>41</v>
      </c>
      <c r="N223" s="187" t="s">
        <v>713</v>
      </c>
      <c r="O223" s="188">
        <v>17154787</v>
      </c>
      <c r="P223" s="200">
        <f t="shared" si="7"/>
        <v>6145213</v>
      </c>
      <c r="Q223" s="201" t="s">
        <v>422</v>
      </c>
      <c r="R223" s="87">
        <v>1</v>
      </c>
      <c r="S223" s="87">
        <v>9</v>
      </c>
      <c r="T223" s="87">
        <v>2017</v>
      </c>
      <c r="U223" s="88" t="s">
        <v>369</v>
      </c>
    </row>
    <row r="224" spans="1:21" s="87" customFormat="1" ht="114" x14ac:dyDescent="0.45">
      <c r="A224" s="72">
        <v>70</v>
      </c>
      <c r="B224" s="165" t="s">
        <v>36</v>
      </c>
      <c r="C224" s="195" t="s">
        <v>76</v>
      </c>
      <c r="D224" s="75" t="s">
        <v>81</v>
      </c>
      <c r="E224" s="76">
        <f>14700000-10984628</f>
        <v>3715372</v>
      </c>
      <c r="F224" s="129" t="s">
        <v>9</v>
      </c>
      <c r="G224" s="77" t="s">
        <v>6</v>
      </c>
      <c r="H224" s="73" t="s">
        <v>70</v>
      </c>
      <c r="I224" s="73" t="s">
        <v>135</v>
      </c>
      <c r="J224" s="89">
        <v>1</v>
      </c>
      <c r="K224" s="78"/>
      <c r="L224" s="78"/>
      <c r="M224" s="80" t="s">
        <v>41</v>
      </c>
      <c r="N224" s="150"/>
      <c r="O224" s="107"/>
      <c r="P224" s="200">
        <f t="shared" si="7"/>
        <v>3715372</v>
      </c>
      <c r="Q224" s="201"/>
      <c r="U224" s="88" t="s">
        <v>423</v>
      </c>
    </row>
    <row r="225" spans="1:21" s="87" customFormat="1" ht="114" x14ac:dyDescent="0.45">
      <c r="A225" s="72">
        <v>71</v>
      </c>
      <c r="B225" s="165" t="s">
        <v>36</v>
      </c>
      <c r="C225" s="195" t="s">
        <v>76</v>
      </c>
      <c r="D225" s="131" t="s">
        <v>82</v>
      </c>
      <c r="E225" s="76">
        <f>4000000+6662400</f>
        <v>10662400</v>
      </c>
      <c r="F225" s="129" t="s">
        <v>9</v>
      </c>
      <c r="G225" s="77" t="s">
        <v>6</v>
      </c>
      <c r="H225" s="73" t="s">
        <v>60</v>
      </c>
      <c r="I225" s="73" t="s">
        <v>135</v>
      </c>
      <c r="J225" s="89">
        <v>12</v>
      </c>
      <c r="K225" s="78">
        <v>43070</v>
      </c>
      <c r="L225" s="79">
        <v>43089</v>
      </c>
      <c r="M225" s="80" t="s">
        <v>41</v>
      </c>
      <c r="N225" s="150"/>
      <c r="O225" s="107"/>
      <c r="P225" s="200">
        <f t="shared" si="7"/>
        <v>10662400</v>
      </c>
      <c r="Q225" s="201" t="s">
        <v>421</v>
      </c>
      <c r="R225" s="87">
        <v>1</v>
      </c>
      <c r="S225" s="87">
        <v>12</v>
      </c>
      <c r="T225" s="87">
        <v>2017</v>
      </c>
      <c r="U225" s="88" t="s">
        <v>374</v>
      </c>
    </row>
    <row r="226" spans="1:21" s="87" customFormat="1" ht="114" x14ac:dyDescent="0.45">
      <c r="A226" s="72">
        <v>72</v>
      </c>
      <c r="B226" s="165" t="s">
        <v>36</v>
      </c>
      <c r="C226" s="195" t="s">
        <v>78</v>
      </c>
      <c r="D226" s="131" t="s">
        <v>97</v>
      </c>
      <c r="E226" s="76">
        <v>8700000</v>
      </c>
      <c r="F226" s="129" t="s">
        <v>10</v>
      </c>
      <c r="G226" s="77" t="s">
        <v>6</v>
      </c>
      <c r="H226" s="73" t="s">
        <v>112</v>
      </c>
      <c r="I226" s="73" t="s">
        <v>135</v>
      </c>
      <c r="J226" s="89">
        <v>2</v>
      </c>
      <c r="K226" s="78">
        <v>42751</v>
      </c>
      <c r="L226" s="79">
        <v>42758</v>
      </c>
      <c r="M226" s="80" t="s">
        <v>41</v>
      </c>
      <c r="N226" s="90" t="s">
        <v>194</v>
      </c>
      <c r="O226" s="91">
        <v>8700000</v>
      </c>
      <c r="P226" s="200">
        <f t="shared" si="7"/>
        <v>0</v>
      </c>
      <c r="Q226" s="201"/>
      <c r="R226" s="87">
        <v>16</v>
      </c>
      <c r="S226" s="87">
        <v>1</v>
      </c>
      <c r="T226" s="87">
        <v>2017</v>
      </c>
      <c r="U226" s="88" t="s">
        <v>369</v>
      </c>
    </row>
    <row r="227" spans="1:21" s="87" customFormat="1" ht="114" x14ac:dyDescent="0.45">
      <c r="A227" s="92">
        <v>73</v>
      </c>
      <c r="B227" s="165" t="s">
        <v>36</v>
      </c>
      <c r="C227" s="195" t="s">
        <v>78</v>
      </c>
      <c r="D227" s="131" t="s">
        <v>83</v>
      </c>
      <c r="E227" s="76">
        <v>53000000</v>
      </c>
      <c r="F227" s="129" t="s">
        <v>10</v>
      </c>
      <c r="G227" s="77" t="s">
        <v>6</v>
      </c>
      <c r="H227" s="73" t="s">
        <v>113</v>
      </c>
      <c r="I227" s="73" t="s">
        <v>135</v>
      </c>
      <c r="J227" s="89">
        <v>8</v>
      </c>
      <c r="K227" s="78">
        <v>42809</v>
      </c>
      <c r="L227" s="79">
        <v>42840</v>
      </c>
      <c r="M227" s="80" t="s">
        <v>41</v>
      </c>
      <c r="N227" s="90" t="s">
        <v>232</v>
      </c>
      <c r="O227" s="91">
        <v>53000000</v>
      </c>
      <c r="P227" s="200">
        <f t="shared" si="7"/>
        <v>0</v>
      </c>
      <c r="Q227" s="201"/>
      <c r="R227" s="87">
        <v>15</v>
      </c>
      <c r="S227" s="87">
        <v>3</v>
      </c>
      <c r="T227" s="87">
        <v>2017</v>
      </c>
      <c r="U227" s="88" t="s">
        <v>369</v>
      </c>
    </row>
    <row r="228" spans="1:21" s="87" customFormat="1" ht="114" x14ac:dyDescent="0.45">
      <c r="A228" s="59">
        <v>73</v>
      </c>
      <c r="B228" s="165" t="s">
        <v>36</v>
      </c>
      <c r="C228" s="195" t="s">
        <v>78</v>
      </c>
      <c r="D228" s="197" t="s">
        <v>266</v>
      </c>
      <c r="E228" s="202">
        <v>5000000</v>
      </c>
      <c r="F228" s="203" t="s">
        <v>10</v>
      </c>
      <c r="G228" s="129" t="s">
        <v>6</v>
      </c>
      <c r="H228" s="77" t="s">
        <v>112</v>
      </c>
      <c r="I228" s="73" t="s">
        <v>135</v>
      </c>
      <c r="J228" s="73">
        <v>4</v>
      </c>
      <c r="K228" s="78">
        <v>42993</v>
      </c>
      <c r="L228" s="79">
        <v>42994</v>
      </c>
      <c r="M228" s="80" t="s">
        <v>41</v>
      </c>
      <c r="N228" s="90" t="s">
        <v>526</v>
      </c>
      <c r="O228" s="91">
        <v>5000000</v>
      </c>
      <c r="P228" s="200">
        <f t="shared" si="7"/>
        <v>0</v>
      </c>
      <c r="Q228" s="201"/>
      <c r="R228" s="87">
        <v>15</v>
      </c>
      <c r="S228" s="87">
        <v>9</v>
      </c>
      <c r="T228" s="87">
        <v>2017</v>
      </c>
      <c r="U228" s="88" t="s">
        <v>369</v>
      </c>
    </row>
    <row r="229" spans="1:21" s="87" customFormat="1" ht="85.5" x14ac:dyDescent="0.45">
      <c r="A229" s="72">
        <v>74</v>
      </c>
      <c r="B229" s="165" t="s">
        <v>36</v>
      </c>
      <c r="C229" s="195" t="s">
        <v>84</v>
      </c>
      <c r="D229" s="131" t="s">
        <v>85</v>
      </c>
      <c r="E229" s="202">
        <v>4030520</v>
      </c>
      <c r="F229" s="203" t="s">
        <v>10</v>
      </c>
      <c r="G229" s="129" t="s">
        <v>6</v>
      </c>
      <c r="H229" s="77" t="s">
        <v>109</v>
      </c>
      <c r="I229" s="73" t="s">
        <v>135</v>
      </c>
      <c r="J229" s="73">
        <v>12</v>
      </c>
      <c r="K229" s="78">
        <v>42795</v>
      </c>
      <c r="L229" s="79">
        <v>42809</v>
      </c>
      <c r="M229" s="80" t="s">
        <v>41</v>
      </c>
      <c r="N229" s="90" t="s">
        <v>372</v>
      </c>
      <c r="O229" s="91">
        <v>4030520</v>
      </c>
      <c r="P229" s="200">
        <f t="shared" si="7"/>
        <v>0</v>
      </c>
      <c r="Q229" s="201"/>
      <c r="R229" s="87">
        <v>1</v>
      </c>
      <c r="S229" s="87">
        <v>3</v>
      </c>
      <c r="T229" s="87">
        <v>2017</v>
      </c>
      <c r="U229" s="88" t="s">
        <v>369</v>
      </c>
    </row>
    <row r="230" spans="1:21" s="87" customFormat="1" ht="114" x14ac:dyDescent="0.45">
      <c r="A230" s="92">
        <v>181</v>
      </c>
      <c r="B230" s="165" t="s">
        <v>36</v>
      </c>
      <c r="C230" s="195" t="s">
        <v>78</v>
      </c>
      <c r="D230" s="131" t="s">
        <v>83</v>
      </c>
      <c r="E230" s="202">
        <f>6764113+6636667+3348021+7623400+2111800+515999</f>
        <v>27000000</v>
      </c>
      <c r="F230" s="203" t="s">
        <v>10</v>
      </c>
      <c r="G230" s="129" t="s">
        <v>6</v>
      </c>
      <c r="H230" s="73" t="s">
        <v>113</v>
      </c>
      <c r="I230" s="73" t="s">
        <v>135</v>
      </c>
      <c r="J230" s="73">
        <v>3</v>
      </c>
      <c r="K230" s="78">
        <v>42979</v>
      </c>
      <c r="L230" s="78">
        <v>43009</v>
      </c>
      <c r="M230" s="80" t="s">
        <v>41</v>
      </c>
      <c r="N230" s="90" t="s">
        <v>575</v>
      </c>
      <c r="O230" s="91">
        <v>27000000</v>
      </c>
      <c r="P230" s="200">
        <f t="shared" si="7"/>
        <v>0</v>
      </c>
      <c r="Q230" s="201" t="s">
        <v>422</v>
      </c>
      <c r="R230" s="87">
        <v>1</v>
      </c>
      <c r="S230" s="87">
        <v>9</v>
      </c>
      <c r="T230" s="87">
        <v>2017</v>
      </c>
      <c r="U230" s="88" t="s">
        <v>369</v>
      </c>
    </row>
    <row r="231" spans="1:21" s="87" customFormat="1" ht="114" x14ac:dyDescent="0.45">
      <c r="A231" s="92">
        <v>75</v>
      </c>
      <c r="B231" s="165" t="s">
        <v>36</v>
      </c>
      <c r="C231" s="195" t="s">
        <v>76</v>
      </c>
      <c r="D231" s="131" t="s">
        <v>86</v>
      </c>
      <c r="E231" s="202">
        <v>21043008</v>
      </c>
      <c r="F231" s="129" t="s">
        <v>10</v>
      </c>
      <c r="G231" s="77" t="s">
        <v>6</v>
      </c>
      <c r="H231" s="73" t="s">
        <v>113</v>
      </c>
      <c r="I231" s="73" t="s">
        <v>135</v>
      </c>
      <c r="J231" s="89">
        <v>12</v>
      </c>
      <c r="K231" s="78">
        <v>42781</v>
      </c>
      <c r="L231" s="79">
        <v>42821</v>
      </c>
      <c r="M231" s="80" t="s">
        <v>41</v>
      </c>
      <c r="N231" s="90" t="s">
        <v>237</v>
      </c>
      <c r="O231" s="91">
        <v>21043008</v>
      </c>
      <c r="P231" s="200">
        <f t="shared" si="7"/>
        <v>0</v>
      </c>
      <c r="Q231" s="201"/>
      <c r="R231" s="87">
        <v>15</v>
      </c>
      <c r="S231" s="87">
        <v>2</v>
      </c>
      <c r="T231" s="87">
        <v>2017</v>
      </c>
      <c r="U231" s="71" t="s">
        <v>369</v>
      </c>
    </row>
    <row r="232" spans="1:21" s="87" customFormat="1" ht="114" x14ac:dyDescent="0.45">
      <c r="A232" s="59">
        <v>75</v>
      </c>
      <c r="B232" s="165" t="s">
        <v>36</v>
      </c>
      <c r="C232" s="195" t="s">
        <v>76</v>
      </c>
      <c r="D232" s="131" t="s">
        <v>86</v>
      </c>
      <c r="E232" s="202">
        <f>12000000-515999-700000-788001</f>
        <v>9996000</v>
      </c>
      <c r="F232" s="129" t="s">
        <v>11</v>
      </c>
      <c r="G232" s="77" t="s">
        <v>6</v>
      </c>
      <c r="H232" s="73" t="s">
        <v>113</v>
      </c>
      <c r="I232" s="73" t="s">
        <v>135</v>
      </c>
      <c r="J232" s="89">
        <v>12</v>
      </c>
      <c r="K232" s="78">
        <v>42781</v>
      </c>
      <c r="L232" s="79">
        <v>42821</v>
      </c>
      <c r="M232" s="80" t="s">
        <v>41</v>
      </c>
      <c r="N232" s="90" t="s">
        <v>237</v>
      </c>
      <c r="O232" s="91">
        <v>9996000</v>
      </c>
      <c r="P232" s="200">
        <f t="shared" si="7"/>
        <v>0</v>
      </c>
      <c r="Q232" s="201"/>
      <c r="R232" s="87">
        <v>15</v>
      </c>
      <c r="S232" s="87">
        <v>2</v>
      </c>
      <c r="T232" s="87">
        <v>2017</v>
      </c>
      <c r="U232" s="71" t="s">
        <v>369</v>
      </c>
    </row>
    <row r="233" spans="1:21" s="87" customFormat="1" ht="142.5" x14ac:dyDescent="0.45">
      <c r="A233" s="92">
        <v>76</v>
      </c>
      <c r="B233" s="165" t="s">
        <v>36</v>
      </c>
      <c r="C233" s="195" t="s">
        <v>78</v>
      </c>
      <c r="D233" s="131" t="s">
        <v>87</v>
      </c>
      <c r="E233" s="76">
        <f>38600000-93472</f>
        <v>38506528</v>
      </c>
      <c r="F233" s="129" t="s">
        <v>12</v>
      </c>
      <c r="G233" s="77" t="s">
        <v>6</v>
      </c>
      <c r="H233" s="73" t="s">
        <v>113</v>
      </c>
      <c r="I233" s="73" t="s">
        <v>135</v>
      </c>
      <c r="J233" s="89">
        <f>408/30</f>
        <v>13.6</v>
      </c>
      <c r="K233" s="78">
        <v>42795</v>
      </c>
      <c r="L233" s="79">
        <v>42842</v>
      </c>
      <c r="M233" s="80" t="s">
        <v>41</v>
      </c>
      <c r="N233" s="90" t="s">
        <v>233</v>
      </c>
      <c r="O233" s="91">
        <v>38506528</v>
      </c>
      <c r="P233" s="200">
        <f t="shared" si="7"/>
        <v>0</v>
      </c>
      <c r="Q233" s="201"/>
      <c r="R233" s="87">
        <v>1</v>
      </c>
      <c r="S233" s="87">
        <v>3</v>
      </c>
      <c r="T233" s="87">
        <v>2017</v>
      </c>
      <c r="U233" s="88" t="s">
        <v>369</v>
      </c>
    </row>
    <row r="234" spans="1:21" s="87" customFormat="1" ht="142.5" x14ac:dyDescent="0.45">
      <c r="A234" s="59">
        <v>76</v>
      </c>
      <c r="B234" s="165" t="s">
        <v>36</v>
      </c>
      <c r="C234" s="195" t="s">
        <v>78</v>
      </c>
      <c r="D234" s="131" t="s">
        <v>383</v>
      </c>
      <c r="E234" s="76">
        <v>93472</v>
      </c>
      <c r="F234" s="129" t="s">
        <v>12</v>
      </c>
      <c r="G234" s="77" t="s">
        <v>6</v>
      </c>
      <c r="H234" s="77" t="s">
        <v>112</v>
      </c>
      <c r="I234" s="73" t="s">
        <v>135</v>
      </c>
      <c r="J234" s="89">
        <v>1</v>
      </c>
      <c r="K234" s="78">
        <v>42951</v>
      </c>
      <c r="L234" s="79" t="s">
        <v>384</v>
      </c>
      <c r="M234" s="80" t="s">
        <v>41</v>
      </c>
      <c r="N234" s="90" t="s">
        <v>483</v>
      </c>
      <c r="O234" s="91">
        <v>93472</v>
      </c>
      <c r="P234" s="200">
        <f t="shared" si="7"/>
        <v>0</v>
      </c>
      <c r="Q234" s="201"/>
      <c r="R234" s="87">
        <v>4</v>
      </c>
      <c r="S234" s="87">
        <v>8</v>
      </c>
      <c r="T234" s="87">
        <v>2017</v>
      </c>
      <c r="U234" s="88" t="s">
        <v>369</v>
      </c>
    </row>
    <row r="235" spans="1:21" s="87" customFormat="1" ht="85.5" x14ac:dyDescent="0.45">
      <c r="A235" s="72">
        <v>77</v>
      </c>
      <c r="B235" s="165" t="s">
        <v>36</v>
      </c>
      <c r="C235" s="195" t="s">
        <v>74</v>
      </c>
      <c r="D235" s="131" t="s">
        <v>88</v>
      </c>
      <c r="E235" s="76">
        <f>500000+700000</f>
        <v>1200000</v>
      </c>
      <c r="F235" s="129" t="s">
        <v>13</v>
      </c>
      <c r="G235" s="77" t="s">
        <v>6</v>
      </c>
      <c r="H235" s="73" t="s">
        <v>60</v>
      </c>
      <c r="I235" s="73" t="s">
        <v>135</v>
      </c>
      <c r="J235" s="89">
        <v>12</v>
      </c>
      <c r="K235" s="78">
        <v>42962</v>
      </c>
      <c r="L235" s="79">
        <v>42979</v>
      </c>
      <c r="M235" s="80" t="s">
        <v>41</v>
      </c>
      <c r="N235" s="90" t="s">
        <v>476</v>
      </c>
      <c r="O235" s="91">
        <v>1200000</v>
      </c>
      <c r="P235" s="200">
        <f t="shared" si="7"/>
        <v>0</v>
      </c>
      <c r="Q235" s="201" t="s">
        <v>420</v>
      </c>
      <c r="R235" s="87">
        <v>15</v>
      </c>
      <c r="S235" s="87">
        <v>8</v>
      </c>
      <c r="T235" s="87">
        <v>2017</v>
      </c>
      <c r="U235" s="88" t="s">
        <v>369</v>
      </c>
    </row>
    <row r="236" spans="1:21" s="87" customFormat="1" ht="102.75" customHeight="1" x14ac:dyDescent="0.45">
      <c r="A236" s="72">
        <v>249</v>
      </c>
      <c r="B236" s="165" t="s">
        <v>36</v>
      </c>
      <c r="C236" s="195" t="s">
        <v>74</v>
      </c>
      <c r="D236" s="131" t="s">
        <v>655</v>
      </c>
      <c r="E236" s="76">
        <v>30000000</v>
      </c>
      <c r="F236" s="129" t="s">
        <v>13</v>
      </c>
      <c r="G236" s="77" t="s">
        <v>6</v>
      </c>
      <c r="H236" s="73" t="s">
        <v>113</v>
      </c>
      <c r="I236" s="73" t="s">
        <v>135</v>
      </c>
      <c r="J236" s="73">
        <v>1</v>
      </c>
      <c r="K236" s="175">
        <v>43048</v>
      </c>
      <c r="L236" s="175">
        <v>43054</v>
      </c>
      <c r="M236" s="80" t="s">
        <v>44</v>
      </c>
      <c r="N236" s="417" t="s">
        <v>691</v>
      </c>
      <c r="O236" s="155">
        <v>30000000</v>
      </c>
      <c r="P236" s="200">
        <f t="shared" si="7"/>
        <v>0</v>
      </c>
      <c r="Q236" s="201"/>
      <c r="R236" s="87">
        <v>9</v>
      </c>
      <c r="S236" s="87">
        <v>11</v>
      </c>
      <c r="T236" s="87">
        <v>2017</v>
      </c>
      <c r="U236" s="88" t="s">
        <v>369</v>
      </c>
    </row>
    <row r="237" spans="1:21" s="87" customFormat="1" ht="138.75" customHeight="1" x14ac:dyDescent="0.45">
      <c r="A237" s="72">
        <v>250</v>
      </c>
      <c r="B237" s="165" t="s">
        <v>36</v>
      </c>
      <c r="C237" s="195" t="s">
        <v>74</v>
      </c>
      <c r="D237" s="94" t="s">
        <v>661</v>
      </c>
      <c r="E237" s="96">
        <v>42000000</v>
      </c>
      <c r="F237" s="93" t="s">
        <v>13</v>
      </c>
      <c r="G237" s="97" t="s">
        <v>6</v>
      </c>
      <c r="H237" s="93" t="s">
        <v>60</v>
      </c>
      <c r="I237" s="93" t="s">
        <v>136</v>
      </c>
      <c r="J237" s="93" t="s">
        <v>73</v>
      </c>
      <c r="K237" s="100">
        <v>43048</v>
      </c>
      <c r="L237" s="100">
        <v>43054</v>
      </c>
      <c r="M237" s="101" t="s">
        <v>44</v>
      </c>
      <c r="N237" s="90" t="s">
        <v>518</v>
      </c>
      <c r="O237" s="188">
        <v>42000000</v>
      </c>
      <c r="P237" s="200">
        <f t="shared" si="7"/>
        <v>0</v>
      </c>
      <c r="Q237" s="201"/>
      <c r="R237" s="87">
        <v>9</v>
      </c>
      <c r="S237" s="87">
        <v>11</v>
      </c>
      <c r="T237" s="87">
        <v>2017</v>
      </c>
      <c r="U237" s="88" t="s">
        <v>369</v>
      </c>
    </row>
    <row r="238" spans="1:21" s="87" customFormat="1" ht="114" x14ac:dyDescent="0.45">
      <c r="A238" s="72">
        <v>78</v>
      </c>
      <c r="B238" s="165" t="s">
        <v>36</v>
      </c>
      <c r="C238" s="195" t="s">
        <v>78</v>
      </c>
      <c r="D238" s="131" t="s">
        <v>89</v>
      </c>
      <c r="E238" s="76">
        <f>28000000-3348021</f>
        <v>24651979</v>
      </c>
      <c r="F238" s="129" t="s">
        <v>14</v>
      </c>
      <c r="G238" s="77" t="s">
        <v>6</v>
      </c>
      <c r="H238" s="73" t="s">
        <v>109</v>
      </c>
      <c r="I238" s="73" t="s">
        <v>135</v>
      </c>
      <c r="J238" s="89">
        <v>12</v>
      </c>
      <c r="K238" s="78">
        <v>42748</v>
      </c>
      <c r="L238" s="79">
        <v>42758</v>
      </c>
      <c r="M238" s="80" t="s">
        <v>41</v>
      </c>
      <c r="N238" s="90" t="s">
        <v>576</v>
      </c>
      <c r="O238" s="91">
        <v>24651979</v>
      </c>
      <c r="P238" s="200">
        <f t="shared" si="7"/>
        <v>0</v>
      </c>
      <c r="Q238" s="201"/>
      <c r="R238" s="87">
        <v>13</v>
      </c>
      <c r="S238" s="87">
        <v>1</v>
      </c>
      <c r="T238" s="87">
        <v>2017</v>
      </c>
      <c r="U238" s="88" t="s">
        <v>369</v>
      </c>
    </row>
    <row r="239" spans="1:21" s="87" customFormat="1" ht="142.5" x14ac:dyDescent="0.45">
      <c r="A239" s="72">
        <v>79</v>
      </c>
      <c r="B239" s="165" t="s">
        <v>36</v>
      </c>
      <c r="C239" s="195" t="s">
        <v>78</v>
      </c>
      <c r="D239" s="131" t="s">
        <v>179</v>
      </c>
      <c r="E239" s="76">
        <f>76000000-5426568-7623400</f>
        <v>62950032</v>
      </c>
      <c r="F239" s="129" t="s">
        <v>14</v>
      </c>
      <c r="G239" s="77" t="s">
        <v>6</v>
      </c>
      <c r="H239" s="73" t="s">
        <v>113</v>
      </c>
      <c r="I239" s="73" t="s">
        <v>135</v>
      </c>
      <c r="J239" s="89">
        <v>1</v>
      </c>
      <c r="K239" s="78">
        <v>42795</v>
      </c>
      <c r="L239" s="79">
        <v>42821</v>
      </c>
      <c r="M239" s="80" t="s">
        <v>41</v>
      </c>
      <c r="N239" s="90" t="s">
        <v>231</v>
      </c>
      <c r="O239" s="91">
        <v>62950032</v>
      </c>
      <c r="P239" s="200">
        <f t="shared" si="7"/>
        <v>0</v>
      </c>
      <c r="Q239" s="201"/>
      <c r="R239" s="87">
        <v>1</v>
      </c>
      <c r="S239" s="87">
        <v>3</v>
      </c>
      <c r="T239" s="87">
        <v>2017</v>
      </c>
      <c r="U239" s="88" t="s">
        <v>369</v>
      </c>
    </row>
    <row r="240" spans="1:21" s="87" customFormat="1" ht="142.5" x14ac:dyDescent="0.45">
      <c r="A240" s="72">
        <v>122</v>
      </c>
      <c r="B240" s="165" t="s">
        <v>36</v>
      </c>
      <c r="C240" s="195" t="s">
        <v>78</v>
      </c>
      <c r="D240" s="131" t="s">
        <v>242</v>
      </c>
      <c r="E240" s="76">
        <v>5426568</v>
      </c>
      <c r="F240" s="129" t="s">
        <v>14</v>
      </c>
      <c r="G240" s="77" t="s">
        <v>6</v>
      </c>
      <c r="H240" s="73" t="s">
        <v>113</v>
      </c>
      <c r="I240" s="73" t="s">
        <v>135</v>
      </c>
      <c r="J240" s="89">
        <v>1</v>
      </c>
      <c r="K240" s="78">
        <v>42822</v>
      </c>
      <c r="L240" s="79">
        <v>42822</v>
      </c>
      <c r="M240" s="80" t="s">
        <v>41</v>
      </c>
      <c r="N240" s="90" t="s">
        <v>243</v>
      </c>
      <c r="O240" s="91">
        <v>5426568</v>
      </c>
      <c r="P240" s="200">
        <f t="shared" si="7"/>
        <v>0</v>
      </c>
      <c r="Q240" s="201"/>
      <c r="R240" s="87">
        <v>28</v>
      </c>
      <c r="S240" s="87">
        <v>3</v>
      </c>
      <c r="T240" s="87">
        <v>2017</v>
      </c>
      <c r="U240" s="88" t="s">
        <v>369</v>
      </c>
    </row>
    <row r="241" spans="1:21" s="87" customFormat="1" ht="114" x14ac:dyDescent="0.45">
      <c r="A241" s="72">
        <v>184</v>
      </c>
      <c r="B241" s="165" t="s">
        <v>36</v>
      </c>
      <c r="C241" s="195" t="s">
        <v>78</v>
      </c>
      <c r="D241" s="131" t="s">
        <v>470</v>
      </c>
      <c r="E241" s="76">
        <v>4000000</v>
      </c>
      <c r="F241" s="129" t="s">
        <v>14</v>
      </c>
      <c r="G241" s="77" t="s">
        <v>6</v>
      </c>
      <c r="H241" s="73" t="s">
        <v>70</v>
      </c>
      <c r="I241" s="73" t="s">
        <v>136</v>
      </c>
      <c r="J241" s="89">
        <v>2</v>
      </c>
      <c r="K241" s="78">
        <v>43023</v>
      </c>
      <c r="L241" s="79">
        <v>43054</v>
      </c>
      <c r="M241" s="80" t="s">
        <v>41</v>
      </c>
      <c r="N241" s="150"/>
      <c r="O241" s="107"/>
      <c r="P241" s="200">
        <f t="shared" si="7"/>
        <v>4000000</v>
      </c>
      <c r="Q241" s="201"/>
      <c r="R241" s="87">
        <v>15</v>
      </c>
      <c r="S241" s="87">
        <v>10</v>
      </c>
      <c r="T241" s="87">
        <v>2017</v>
      </c>
      <c r="U241" s="88" t="s">
        <v>584</v>
      </c>
    </row>
    <row r="242" spans="1:21" s="87" customFormat="1" ht="142.5" x14ac:dyDescent="0.45">
      <c r="A242" s="72">
        <v>80</v>
      </c>
      <c r="B242" s="165" t="s">
        <v>36</v>
      </c>
      <c r="C242" s="195" t="s">
        <v>78</v>
      </c>
      <c r="D242" s="131" t="s">
        <v>90</v>
      </c>
      <c r="E242" s="76">
        <f>196000000-2111800</f>
        <v>193888200</v>
      </c>
      <c r="F242" s="129" t="s">
        <v>15</v>
      </c>
      <c r="G242" s="77" t="s">
        <v>6</v>
      </c>
      <c r="H242" s="73" t="s">
        <v>60</v>
      </c>
      <c r="I242" s="73" t="s">
        <v>137</v>
      </c>
      <c r="J242" s="89">
        <v>12</v>
      </c>
      <c r="K242" s="78">
        <v>42750</v>
      </c>
      <c r="L242" s="79">
        <v>42767</v>
      </c>
      <c r="M242" s="80" t="s">
        <v>41</v>
      </c>
      <c r="N242" s="90" t="s">
        <v>218</v>
      </c>
      <c r="O242" s="91">
        <v>193888200</v>
      </c>
      <c r="P242" s="200">
        <f t="shared" si="7"/>
        <v>0</v>
      </c>
      <c r="Q242" s="201"/>
      <c r="R242" s="87">
        <v>15</v>
      </c>
      <c r="S242" s="87">
        <v>1</v>
      </c>
      <c r="T242" s="87">
        <v>2017</v>
      </c>
      <c r="U242" s="88" t="s">
        <v>369</v>
      </c>
    </row>
    <row r="243" spans="1:21" s="87" customFormat="1" ht="142.5" x14ac:dyDescent="0.45">
      <c r="A243" s="72">
        <v>81</v>
      </c>
      <c r="B243" s="165" t="s">
        <v>36</v>
      </c>
      <c r="C243" s="195" t="s">
        <v>91</v>
      </c>
      <c r="D243" s="131" t="s">
        <v>92</v>
      </c>
      <c r="E243" s="76">
        <v>48000000</v>
      </c>
      <c r="F243" s="129" t="s">
        <v>16</v>
      </c>
      <c r="G243" s="77" t="s">
        <v>6</v>
      </c>
      <c r="H243" s="73" t="s">
        <v>60</v>
      </c>
      <c r="I243" s="73" t="s">
        <v>135</v>
      </c>
      <c r="J243" s="89">
        <v>12</v>
      </c>
      <c r="K243" s="78">
        <v>42893</v>
      </c>
      <c r="L243" s="79">
        <v>42923</v>
      </c>
      <c r="M243" s="80" t="s">
        <v>41</v>
      </c>
      <c r="N243" s="90" t="s">
        <v>345</v>
      </c>
      <c r="O243" s="91">
        <v>47826114</v>
      </c>
      <c r="P243" s="200">
        <f t="shared" si="7"/>
        <v>173886</v>
      </c>
      <c r="Q243" s="201"/>
      <c r="R243" s="87">
        <v>7</v>
      </c>
      <c r="S243" s="87">
        <v>6</v>
      </c>
      <c r="T243" s="87">
        <v>2017</v>
      </c>
      <c r="U243" s="88" t="s">
        <v>369</v>
      </c>
    </row>
    <row r="244" spans="1:21" s="87" customFormat="1" ht="142.5" x14ac:dyDescent="0.45">
      <c r="A244" s="72">
        <v>82</v>
      </c>
      <c r="B244" s="165" t="s">
        <v>36</v>
      </c>
      <c r="C244" s="195" t="s">
        <v>91</v>
      </c>
      <c r="D244" s="131" t="s">
        <v>93</v>
      </c>
      <c r="E244" s="76">
        <f>1500000+10000000</f>
        <v>11500000</v>
      </c>
      <c r="F244" s="129" t="s">
        <v>17</v>
      </c>
      <c r="G244" s="77" t="s">
        <v>6</v>
      </c>
      <c r="H244" s="73" t="s">
        <v>70</v>
      </c>
      <c r="I244" s="73" t="s">
        <v>136</v>
      </c>
      <c r="J244" s="89">
        <v>1</v>
      </c>
      <c r="K244" s="78">
        <v>43040</v>
      </c>
      <c r="L244" s="79">
        <v>43084</v>
      </c>
      <c r="M244" s="80" t="s">
        <v>41</v>
      </c>
      <c r="N244" s="150"/>
      <c r="O244" s="107"/>
      <c r="P244" s="200">
        <f t="shared" si="7"/>
        <v>11500000</v>
      </c>
      <c r="Q244" s="201" t="s">
        <v>421</v>
      </c>
      <c r="R244" s="87">
        <v>2</v>
      </c>
      <c r="S244" s="87">
        <v>10</v>
      </c>
      <c r="T244" s="87">
        <v>2017</v>
      </c>
      <c r="U244" s="88" t="s">
        <v>370</v>
      </c>
    </row>
    <row r="245" spans="1:21" s="87" customFormat="1" ht="85.5" x14ac:dyDescent="0.45">
      <c r="A245" s="72">
        <v>83</v>
      </c>
      <c r="B245" s="165" t="s">
        <v>36</v>
      </c>
      <c r="C245" s="195" t="s">
        <v>94</v>
      </c>
      <c r="D245" s="131" t="s">
        <v>95</v>
      </c>
      <c r="E245" s="76">
        <v>2000000</v>
      </c>
      <c r="F245" s="129" t="s">
        <v>17</v>
      </c>
      <c r="G245" s="77" t="s">
        <v>6</v>
      </c>
      <c r="H245" s="73" t="s">
        <v>70</v>
      </c>
      <c r="I245" s="73" t="s">
        <v>135</v>
      </c>
      <c r="J245" s="89">
        <v>10</v>
      </c>
      <c r="K245" s="78">
        <v>42931</v>
      </c>
      <c r="L245" s="79">
        <v>42948</v>
      </c>
      <c r="M245" s="80" t="s">
        <v>41</v>
      </c>
      <c r="N245" s="90" t="s">
        <v>402</v>
      </c>
      <c r="O245" s="91">
        <v>2000000</v>
      </c>
      <c r="P245" s="199">
        <f t="shared" si="7"/>
        <v>0</v>
      </c>
      <c r="Q245" s="201"/>
      <c r="R245" s="87">
        <v>15</v>
      </c>
      <c r="S245" s="87">
        <v>7</v>
      </c>
      <c r="T245" s="87">
        <v>2017</v>
      </c>
      <c r="U245" s="88" t="s">
        <v>369</v>
      </c>
    </row>
    <row r="246" spans="1:21" s="87" customFormat="1" ht="142.5" x14ac:dyDescent="0.45">
      <c r="A246" s="72">
        <v>84</v>
      </c>
      <c r="B246" s="165" t="s">
        <v>36</v>
      </c>
      <c r="C246" s="195" t="s">
        <v>91</v>
      </c>
      <c r="D246" s="131" t="s">
        <v>96</v>
      </c>
      <c r="E246" s="76">
        <f>3500000+1600000</f>
        <v>5100000</v>
      </c>
      <c r="F246" s="129" t="s">
        <v>17</v>
      </c>
      <c r="G246" s="77" t="s">
        <v>6</v>
      </c>
      <c r="H246" s="73" t="s">
        <v>60</v>
      </c>
      <c r="I246" s="73" t="s">
        <v>135</v>
      </c>
      <c r="J246" s="89">
        <v>2</v>
      </c>
      <c r="K246" s="78">
        <v>43040</v>
      </c>
      <c r="L246" s="79">
        <v>43070</v>
      </c>
      <c r="M246" s="80" t="s">
        <v>41</v>
      </c>
      <c r="N246" s="90" t="s">
        <v>690</v>
      </c>
      <c r="O246" s="91">
        <v>5100000</v>
      </c>
      <c r="P246" s="206">
        <f t="shared" si="7"/>
        <v>0</v>
      </c>
      <c r="Q246" s="201" t="s">
        <v>421</v>
      </c>
      <c r="R246" s="87">
        <v>22</v>
      </c>
      <c r="S246" s="87">
        <v>9</v>
      </c>
      <c r="T246" s="87">
        <v>2017</v>
      </c>
      <c r="U246" s="71" t="s">
        <v>369</v>
      </c>
    </row>
    <row r="247" spans="1:21" s="87" customFormat="1" ht="114" x14ac:dyDescent="0.45">
      <c r="A247" s="59">
        <v>85</v>
      </c>
      <c r="B247" s="165" t="s">
        <v>36</v>
      </c>
      <c r="C247" s="195" t="s">
        <v>78</v>
      </c>
      <c r="D247" s="131" t="s">
        <v>138</v>
      </c>
      <c r="E247" s="76">
        <v>7000000</v>
      </c>
      <c r="F247" s="129" t="s">
        <v>10</v>
      </c>
      <c r="G247" s="77" t="s">
        <v>6</v>
      </c>
      <c r="H247" s="73" t="s">
        <v>112</v>
      </c>
      <c r="I247" s="73" t="s">
        <v>135</v>
      </c>
      <c r="J247" s="89">
        <v>2</v>
      </c>
      <c r="K247" s="78">
        <v>42781</v>
      </c>
      <c r="L247" s="79">
        <v>42795</v>
      </c>
      <c r="M247" s="80" t="s">
        <v>41</v>
      </c>
      <c r="N247" s="90" t="s">
        <v>195</v>
      </c>
      <c r="O247" s="91">
        <v>7000000</v>
      </c>
      <c r="P247" s="199">
        <f t="shared" si="7"/>
        <v>0</v>
      </c>
      <c r="Q247" s="201"/>
      <c r="R247" s="87">
        <v>15</v>
      </c>
      <c r="S247" s="87">
        <v>2</v>
      </c>
      <c r="T247" s="87">
        <v>2017</v>
      </c>
      <c r="U247" s="71" t="s">
        <v>369</v>
      </c>
    </row>
    <row r="248" spans="1:21" s="71" customFormat="1" ht="114" x14ac:dyDescent="0.25">
      <c r="A248" s="207">
        <v>87</v>
      </c>
      <c r="B248" s="165" t="s">
        <v>36</v>
      </c>
      <c r="C248" s="74" t="s">
        <v>78</v>
      </c>
      <c r="D248" s="208" t="s">
        <v>140</v>
      </c>
      <c r="E248" s="209">
        <v>0</v>
      </c>
      <c r="F248" s="89" t="s">
        <v>73</v>
      </c>
      <c r="G248" s="147" t="s">
        <v>73</v>
      </c>
      <c r="H248" s="73" t="s">
        <v>73</v>
      </c>
      <c r="I248" s="73" t="s">
        <v>135</v>
      </c>
      <c r="J248" s="89">
        <v>12</v>
      </c>
      <c r="K248" s="78">
        <v>42793</v>
      </c>
      <c r="L248" s="79">
        <v>42809</v>
      </c>
      <c r="M248" s="80" t="s">
        <v>41</v>
      </c>
      <c r="N248" s="90" t="s">
        <v>371</v>
      </c>
      <c r="O248" s="91">
        <v>0</v>
      </c>
      <c r="P248" s="210">
        <f t="shared" si="7"/>
        <v>0</v>
      </c>
      <c r="Q248" s="50"/>
      <c r="R248" s="71">
        <v>27</v>
      </c>
      <c r="S248" s="71">
        <v>2</v>
      </c>
      <c r="T248" s="71">
        <v>2017</v>
      </c>
      <c r="U248" s="71" t="s">
        <v>369</v>
      </c>
    </row>
    <row r="249" spans="1:21" s="71" customFormat="1" ht="108.75" customHeight="1" thickBot="1" x14ac:dyDescent="0.3">
      <c r="A249" s="211">
        <v>119</v>
      </c>
      <c r="B249" s="212" t="s">
        <v>36</v>
      </c>
      <c r="C249" s="135" t="s">
        <v>78</v>
      </c>
      <c r="D249" s="213" t="s">
        <v>224</v>
      </c>
      <c r="E249" s="214">
        <v>1218359</v>
      </c>
      <c r="F249" s="136" t="s">
        <v>10</v>
      </c>
      <c r="G249" s="215" t="s">
        <v>6</v>
      </c>
      <c r="H249" s="136" t="s">
        <v>112</v>
      </c>
      <c r="I249" s="136" t="s">
        <v>135</v>
      </c>
      <c r="J249" s="212">
        <v>1</v>
      </c>
      <c r="K249" s="216">
        <v>42815</v>
      </c>
      <c r="L249" s="217">
        <v>42817</v>
      </c>
      <c r="M249" s="138" t="s">
        <v>41</v>
      </c>
      <c r="N249" s="117" t="s">
        <v>373</v>
      </c>
      <c r="O249" s="118">
        <v>1218359</v>
      </c>
      <c r="P249" s="218">
        <f>E249-O249</f>
        <v>0</v>
      </c>
      <c r="Q249" s="201"/>
      <c r="R249" s="71">
        <v>21</v>
      </c>
      <c r="S249" s="71">
        <v>3</v>
      </c>
      <c r="T249" s="71">
        <v>2017</v>
      </c>
      <c r="U249" s="88" t="s">
        <v>369</v>
      </c>
    </row>
    <row r="250" spans="1:21" s="71" customFormat="1" ht="111.75" customHeight="1" thickTop="1" x14ac:dyDescent="0.25">
      <c r="A250" s="219">
        <v>186</v>
      </c>
      <c r="B250" s="220" t="s">
        <v>486</v>
      </c>
      <c r="C250" s="221" t="s">
        <v>487</v>
      </c>
      <c r="D250" s="222" t="s">
        <v>489</v>
      </c>
      <c r="E250" s="223">
        <v>23775081682</v>
      </c>
      <c r="F250" s="224" t="s">
        <v>510</v>
      </c>
      <c r="G250" s="225" t="s">
        <v>511</v>
      </c>
      <c r="H250" s="122" t="s">
        <v>108</v>
      </c>
      <c r="I250" s="122" t="s">
        <v>308</v>
      </c>
      <c r="J250" s="224">
        <v>18</v>
      </c>
      <c r="K250" s="226">
        <v>43023</v>
      </c>
      <c r="L250" s="123">
        <v>43115</v>
      </c>
      <c r="M250" s="227" t="s">
        <v>42</v>
      </c>
      <c r="N250" s="228"/>
      <c r="O250" s="229"/>
      <c r="P250" s="230">
        <f>+E250-O250</f>
        <v>23775081682</v>
      </c>
      <c r="Q250" s="50"/>
      <c r="U250" s="71" t="s">
        <v>370</v>
      </c>
    </row>
    <row r="251" spans="1:21" s="71" customFormat="1" ht="171" x14ac:dyDescent="0.25">
      <c r="A251" s="207">
        <v>187</v>
      </c>
      <c r="B251" s="165" t="s">
        <v>486</v>
      </c>
      <c r="C251" s="74" t="s">
        <v>487</v>
      </c>
      <c r="D251" s="208" t="s">
        <v>490</v>
      </c>
      <c r="E251" s="209">
        <v>103103690</v>
      </c>
      <c r="F251" s="89" t="s">
        <v>510</v>
      </c>
      <c r="G251" s="147" t="s">
        <v>511</v>
      </c>
      <c r="H251" s="73" t="s">
        <v>113</v>
      </c>
      <c r="I251" s="73" t="s">
        <v>308</v>
      </c>
      <c r="J251" s="89">
        <v>4</v>
      </c>
      <c r="K251" s="78">
        <v>43405</v>
      </c>
      <c r="L251" s="79">
        <v>43084</v>
      </c>
      <c r="M251" s="80" t="s">
        <v>42</v>
      </c>
      <c r="N251" s="150"/>
      <c r="O251" s="107"/>
      <c r="P251" s="196">
        <f>+E251-O251</f>
        <v>103103690</v>
      </c>
      <c r="Q251" s="50"/>
      <c r="U251" s="71" t="s">
        <v>370</v>
      </c>
    </row>
    <row r="252" spans="1:21" s="71" customFormat="1" ht="142.5" x14ac:dyDescent="0.25">
      <c r="A252" s="207">
        <v>188</v>
      </c>
      <c r="B252" s="165" t="s">
        <v>486</v>
      </c>
      <c r="C252" s="74" t="s">
        <v>487</v>
      </c>
      <c r="D252" s="208" t="s">
        <v>491</v>
      </c>
      <c r="E252" s="209">
        <f>8000000*24</f>
        <v>192000000</v>
      </c>
      <c r="F252" s="89" t="s">
        <v>510</v>
      </c>
      <c r="G252" s="147" t="s">
        <v>511</v>
      </c>
      <c r="H252" s="73" t="s">
        <v>60</v>
      </c>
      <c r="I252" s="73" t="s">
        <v>133</v>
      </c>
      <c r="J252" s="89">
        <v>24</v>
      </c>
      <c r="K252" s="78">
        <v>43007</v>
      </c>
      <c r="L252" s="79">
        <v>43026</v>
      </c>
      <c r="M252" s="80" t="s">
        <v>42</v>
      </c>
      <c r="N252" s="90" t="s">
        <v>553</v>
      </c>
      <c r="O252" s="91">
        <v>96000000</v>
      </c>
      <c r="P252" s="196">
        <f t="shared" ref="P252:P306" si="8">+E252-O252</f>
        <v>96000000</v>
      </c>
      <c r="Q252" s="50"/>
      <c r="U252" s="71" t="s">
        <v>574</v>
      </c>
    </row>
    <row r="253" spans="1:21" s="71" customFormat="1" ht="171" x14ac:dyDescent="0.25">
      <c r="A253" s="207">
        <v>189</v>
      </c>
      <c r="B253" s="165" t="s">
        <v>486</v>
      </c>
      <c r="C253" s="74" t="s">
        <v>487</v>
      </c>
      <c r="D253" s="208" t="s">
        <v>679</v>
      </c>
      <c r="E253" s="209">
        <f>6000000*24</f>
        <v>144000000</v>
      </c>
      <c r="F253" s="89" t="s">
        <v>510</v>
      </c>
      <c r="G253" s="147" t="s">
        <v>511</v>
      </c>
      <c r="H253" s="73" t="s">
        <v>60</v>
      </c>
      <c r="I253" s="73" t="s">
        <v>133</v>
      </c>
      <c r="J253" s="89">
        <v>24</v>
      </c>
      <c r="K253" s="78">
        <v>43007</v>
      </c>
      <c r="L253" s="79">
        <v>43025</v>
      </c>
      <c r="M253" s="80" t="s">
        <v>42</v>
      </c>
      <c r="N253" s="90" t="s">
        <v>551</v>
      </c>
      <c r="O253" s="91">
        <v>18000000</v>
      </c>
      <c r="P253" s="196">
        <f t="shared" si="8"/>
        <v>126000000</v>
      </c>
      <c r="Q253" s="50"/>
      <c r="U253" s="71" t="s">
        <v>574</v>
      </c>
    </row>
    <row r="254" spans="1:21" s="71" customFormat="1" ht="171" x14ac:dyDescent="0.25">
      <c r="A254" s="207">
        <v>190</v>
      </c>
      <c r="B254" s="165" t="s">
        <v>486</v>
      </c>
      <c r="C254" s="74" t="s">
        <v>487</v>
      </c>
      <c r="D254" s="208" t="s">
        <v>679</v>
      </c>
      <c r="E254" s="209">
        <f>6000000*24</f>
        <v>144000000</v>
      </c>
      <c r="F254" s="89" t="s">
        <v>510</v>
      </c>
      <c r="G254" s="147" t="s">
        <v>511</v>
      </c>
      <c r="H254" s="73" t="s">
        <v>60</v>
      </c>
      <c r="I254" s="73" t="s">
        <v>133</v>
      </c>
      <c r="J254" s="89">
        <v>24</v>
      </c>
      <c r="K254" s="78">
        <v>43007</v>
      </c>
      <c r="L254" s="79">
        <v>43025</v>
      </c>
      <c r="M254" s="80" t="s">
        <v>42</v>
      </c>
      <c r="N254" s="90" t="s">
        <v>552</v>
      </c>
      <c r="O254" s="91">
        <v>18000000</v>
      </c>
      <c r="P254" s="196">
        <f t="shared" si="8"/>
        <v>126000000</v>
      </c>
      <c r="Q254" s="50"/>
      <c r="U254" s="71" t="s">
        <v>574</v>
      </c>
    </row>
    <row r="255" spans="1:21" s="71" customFormat="1" ht="171" x14ac:dyDescent="0.25">
      <c r="A255" s="207">
        <v>191</v>
      </c>
      <c r="B255" s="165" t="s">
        <v>486</v>
      </c>
      <c r="C255" s="74" t="s">
        <v>487</v>
      </c>
      <c r="D255" s="208" t="s">
        <v>679</v>
      </c>
      <c r="E255" s="209">
        <f>6000000*24</f>
        <v>144000000</v>
      </c>
      <c r="F255" s="89" t="s">
        <v>510</v>
      </c>
      <c r="G255" s="147" t="s">
        <v>511</v>
      </c>
      <c r="H255" s="73" t="s">
        <v>60</v>
      </c>
      <c r="I255" s="73" t="s">
        <v>133</v>
      </c>
      <c r="J255" s="89">
        <v>24</v>
      </c>
      <c r="K255" s="78">
        <v>43007</v>
      </c>
      <c r="L255" s="79">
        <v>43028</v>
      </c>
      <c r="M255" s="80" t="s">
        <v>42</v>
      </c>
      <c r="N255" s="90" t="s">
        <v>563</v>
      </c>
      <c r="O255" s="91">
        <v>18000000</v>
      </c>
      <c r="P255" s="196">
        <f t="shared" si="8"/>
        <v>126000000</v>
      </c>
      <c r="Q255" s="50"/>
      <c r="U255" s="71" t="s">
        <v>574</v>
      </c>
    </row>
    <row r="256" spans="1:21" s="71" customFormat="1" ht="171" x14ac:dyDescent="0.25">
      <c r="A256" s="207">
        <v>192</v>
      </c>
      <c r="B256" s="165" t="s">
        <v>486</v>
      </c>
      <c r="C256" s="74" t="s">
        <v>487</v>
      </c>
      <c r="D256" s="208" t="s">
        <v>679</v>
      </c>
      <c r="E256" s="209">
        <f>6000000*24</f>
        <v>144000000</v>
      </c>
      <c r="F256" s="89" t="s">
        <v>510</v>
      </c>
      <c r="G256" s="147" t="s">
        <v>511</v>
      </c>
      <c r="H256" s="73" t="s">
        <v>60</v>
      </c>
      <c r="I256" s="73" t="s">
        <v>133</v>
      </c>
      <c r="J256" s="89">
        <v>24</v>
      </c>
      <c r="K256" s="78">
        <v>43007</v>
      </c>
      <c r="L256" s="79">
        <v>43028</v>
      </c>
      <c r="M256" s="80" t="s">
        <v>42</v>
      </c>
      <c r="N256" s="90" t="s">
        <v>573</v>
      </c>
      <c r="O256" s="91">
        <v>18000000</v>
      </c>
      <c r="P256" s="196">
        <f t="shared" si="8"/>
        <v>126000000</v>
      </c>
      <c r="Q256" s="50"/>
      <c r="U256" s="71" t="s">
        <v>574</v>
      </c>
    </row>
    <row r="257" spans="1:21" s="71" customFormat="1" ht="85.5" x14ac:dyDescent="0.25">
      <c r="A257" s="207">
        <v>193</v>
      </c>
      <c r="B257" s="165" t="s">
        <v>486</v>
      </c>
      <c r="C257" s="74" t="s">
        <v>487</v>
      </c>
      <c r="D257" s="208" t="s">
        <v>492</v>
      </c>
      <c r="E257" s="209">
        <f>6000000*24</f>
        <v>144000000</v>
      </c>
      <c r="F257" s="89" t="s">
        <v>510</v>
      </c>
      <c r="G257" s="147" t="s">
        <v>511</v>
      </c>
      <c r="H257" s="73" t="s">
        <v>60</v>
      </c>
      <c r="I257" s="73" t="s">
        <v>133</v>
      </c>
      <c r="J257" s="89">
        <v>24</v>
      </c>
      <c r="K257" s="78">
        <v>43007</v>
      </c>
      <c r="L257" s="79">
        <v>43034</v>
      </c>
      <c r="M257" s="80" t="s">
        <v>42</v>
      </c>
      <c r="N257" s="150"/>
      <c r="O257" s="107"/>
      <c r="P257" s="196">
        <f t="shared" si="8"/>
        <v>144000000</v>
      </c>
      <c r="Q257" s="50"/>
      <c r="U257" s="71" t="s">
        <v>370</v>
      </c>
    </row>
    <row r="258" spans="1:21" s="71" customFormat="1" ht="85.5" x14ac:dyDescent="0.25">
      <c r="A258" s="207">
        <v>194</v>
      </c>
      <c r="B258" s="165" t="s">
        <v>486</v>
      </c>
      <c r="C258" s="74" t="s">
        <v>487</v>
      </c>
      <c r="D258" s="208" t="s">
        <v>681</v>
      </c>
      <c r="E258" s="209">
        <f>5000000*24</f>
        <v>120000000</v>
      </c>
      <c r="F258" s="89" t="s">
        <v>510</v>
      </c>
      <c r="G258" s="147" t="s">
        <v>511</v>
      </c>
      <c r="H258" s="73" t="s">
        <v>60</v>
      </c>
      <c r="I258" s="73" t="s">
        <v>133</v>
      </c>
      <c r="J258" s="89">
        <v>24</v>
      </c>
      <c r="K258" s="78">
        <v>43007</v>
      </c>
      <c r="L258" s="79">
        <v>43057</v>
      </c>
      <c r="M258" s="80" t="s">
        <v>42</v>
      </c>
      <c r="N258" s="90" t="s">
        <v>558</v>
      </c>
      <c r="O258" s="91">
        <v>30000000</v>
      </c>
      <c r="P258" s="196">
        <f t="shared" si="8"/>
        <v>90000000</v>
      </c>
      <c r="Q258" s="50"/>
      <c r="U258" s="71" t="s">
        <v>574</v>
      </c>
    </row>
    <row r="259" spans="1:21" s="71" customFormat="1" ht="85.5" x14ac:dyDescent="0.25">
      <c r="A259" s="207">
        <v>195</v>
      </c>
      <c r="B259" s="165" t="s">
        <v>486</v>
      </c>
      <c r="C259" s="74" t="s">
        <v>487</v>
      </c>
      <c r="D259" s="208" t="s">
        <v>681</v>
      </c>
      <c r="E259" s="209">
        <f t="shared" ref="E259:E279" si="9">5000000*24</f>
        <v>120000000</v>
      </c>
      <c r="F259" s="89" t="s">
        <v>510</v>
      </c>
      <c r="G259" s="147" t="s">
        <v>511</v>
      </c>
      <c r="H259" s="73" t="s">
        <v>60</v>
      </c>
      <c r="I259" s="73" t="s">
        <v>133</v>
      </c>
      <c r="J259" s="89">
        <v>24</v>
      </c>
      <c r="K259" s="78">
        <v>43007</v>
      </c>
      <c r="L259" s="79">
        <v>43057</v>
      </c>
      <c r="M259" s="80" t="s">
        <v>42</v>
      </c>
      <c r="N259" s="90" t="s">
        <v>557</v>
      </c>
      <c r="O259" s="91">
        <v>30000000</v>
      </c>
      <c r="P259" s="196">
        <f t="shared" si="8"/>
        <v>90000000</v>
      </c>
      <c r="Q259" s="50"/>
      <c r="U259" s="71" t="s">
        <v>574</v>
      </c>
    </row>
    <row r="260" spans="1:21" s="71" customFormat="1" ht="85.5" x14ac:dyDescent="0.25">
      <c r="A260" s="207">
        <v>196</v>
      </c>
      <c r="B260" s="165" t="s">
        <v>486</v>
      </c>
      <c r="C260" s="74" t="s">
        <v>488</v>
      </c>
      <c r="D260" s="208" t="s">
        <v>681</v>
      </c>
      <c r="E260" s="209">
        <f t="shared" si="9"/>
        <v>120000000</v>
      </c>
      <c r="F260" s="89" t="s">
        <v>510</v>
      </c>
      <c r="G260" s="147" t="s">
        <v>511</v>
      </c>
      <c r="H260" s="73" t="s">
        <v>60</v>
      </c>
      <c r="I260" s="73" t="s">
        <v>133</v>
      </c>
      <c r="J260" s="89">
        <v>24</v>
      </c>
      <c r="K260" s="78">
        <v>43007</v>
      </c>
      <c r="L260" s="79">
        <v>43057</v>
      </c>
      <c r="M260" s="80" t="s">
        <v>42</v>
      </c>
      <c r="N260" s="90" t="s">
        <v>556</v>
      </c>
      <c r="O260" s="91">
        <v>30000000</v>
      </c>
      <c r="P260" s="196">
        <f t="shared" si="8"/>
        <v>90000000</v>
      </c>
      <c r="Q260" s="50"/>
      <c r="U260" s="71" t="s">
        <v>574</v>
      </c>
    </row>
    <row r="261" spans="1:21" s="71" customFormat="1" ht="85.5" x14ac:dyDescent="0.25">
      <c r="A261" s="207">
        <v>197</v>
      </c>
      <c r="B261" s="165" t="s">
        <v>486</v>
      </c>
      <c r="C261" s="74" t="s">
        <v>488</v>
      </c>
      <c r="D261" s="208" t="s">
        <v>681</v>
      </c>
      <c r="E261" s="209">
        <f t="shared" si="9"/>
        <v>120000000</v>
      </c>
      <c r="F261" s="89" t="s">
        <v>510</v>
      </c>
      <c r="G261" s="147" t="s">
        <v>511</v>
      </c>
      <c r="H261" s="73" t="s">
        <v>60</v>
      </c>
      <c r="I261" s="73" t="s">
        <v>133</v>
      </c>
      <c r="J261" s="89">
        <v>24</v>
      </c>
      <c r="K261" s="78">
        <v>43007</v>
      </c>
      <c r="L261" s="79">
        <v>43056</v>
      </c>
      <c r="M261" s="80" t="s">
        <v>42</v>
      </c>
      <c r="N261" s="90" t="s">
        <v>555</v>
      </c>
      <c r="O261" s="91">
        <v>30000000</v>
      </c>
      <c r="P261" s="196">
        <f t="shared" si="8"/>
        <v>90000000</v>
      </c>
      <c r="Q261" s="50"/>
      <c r="U261" s="71" t="s">
        <v>574</v>
      </c>
    </row>
    <row r="262" spans="1:21" s="71" customFormat="1" ht="85.5" x14ac:dyDescent="0.25">
      <c r="A262" s="207">
        <v>198</v>
      </c>
      <c r="B262" s="165" t="s">
        <v>486</v>
      </c>
      <c r="C262" s="74" t="s">
        <v>488</v>
      </c>
      <c r="D262" s="208" t="s">
        <v>681</v>
      </c>
      <c r="E262" s="209">
        <f t="shared" si="9"/>
        <v>120000000</v>
      </c>
      <c r="F262" s="89" t="s">
        <v>510</v>
      </c>
      <c r="G262" s="147" t="s">
        <v>511</v>
      </c>
      <c r="H262" s="73" t="s">
        <v>60</v>
      </c>
      <c r="I262" s="73" t="s">
        <v>133</v>
      </c>
      <c r="J262" s="89">
        <v>24</v>
      </c>
      <c r="K262" s="78">
        <v>43007</v>
      </c>
      <c r="L262" s="79">
        <v>43057</v>
      </c>
      <c r="M262" s="80" t="s">
        <v>42</v>
      </c>
      <c r="N262" s="90" t="s">
        <v>554</v>
      </c>
      <c r="O262" s="91">
        <v>30000000</v>
      </c>
      <c r="P262" s="196">
        <f t="shared" si="8"/>
        <v>90000000</v>
      </c>
      <c r="Q262" s="50"/>
      <c r="U262" s="71" t="s">
        <v>574</v>
      </c>
    </row>
    <row r="263" spans="1:21" s="71" customFormat="1" ht="85.5" x14ac:dyDescent="0.25">
      <c r="A263" s="207">
        <v>199</v>
      </c>
      <c r="B263" s="165" t="s">
        <v>486</v>
      </c>
      <c r="C263" s="74" t="s">
        <v>488</v>
      </c>
      <c r="D263" s="208" t="s">
        <v>681</v>
      </c>
      <c r="E263" s="209">
        <f t="shared" si="9"/>
        <v>120000000</v>
      </c>
      <c r="F263" s="89" t="s">
        <v>510</v>
      </c>
      <c r="G263" s="147" t="s">
        <v>511</v>
      </c>
      <c r="H263" s="73" t="s">
        <v>60</v>
      </c>
      <c r="I263" s="73" t="s">
        <v>133</v>
      </c>
      <c r="J263" s="89">
        <v>24</v>
      </c>
      <c r="K263" s="78">
        <v>43007</v>
      </c>
      <c r="L263" s="79">
        <v>43035</v>
      </c>
      <c r="M263" s="80" t="s">
        <v>42</v>
      </c>
      <c r="N263" s="90" t="s">
        <v>559</v>
      </c>
      <c r="O263" s="91">
        <v>30000000</v>
      </c>
      <c r="P263" s="196">
        <f t="shared" si="8"/>
        <v>90000000</v>
      </c>
      <c r="Q263" s="50"/>
      <c r="U263" s="71" t="s">
        <v>574</v>
      </c>
    </row>
    <row r="264" spans="1:21" s="71" customFormat="1" ht="85.5" x14ac:dyDescent="0.25">
      <c r="A264" s="207">
        <v>200</v>
      </c>
      <c r="B264" s="165" t="s">
        <v>486</v>
      </c>
      <c r="C264" s="74" t="s">
        <v>488</v>
      </c>
      <c r="D264" s="208" t="s">
        <v>681</v>
      </c>
      <c r="E264" s="209">
        <f t="shared" si="9"/>
        <v>120000000</v>
      </c>
      <c r="F264" s="89" t="s">
        <v>510</v>
      </c>
      <c r="G264" s="147" t="s">
        <v>511</v>
      </c>
      <c r="H264" s="73" t="s">
        <v>60</v>
      </c>
      <c r="I264" s="73" t="s">
        <v>133</v>
      </c>
      <c r="J264" s="89">
        <v>24</v>
      </c>
      <c r="K264" s="78">
        <v>43007</v>
      </c>
      <c r="L264" s="79">
        <v>43026</v>
      </c>
      <c r="M264" s="80" t="s">
        <v>42</v>
      </c>
      <c r="N264" s="90" t="s">
        <v>560</v>
      </c>
      <c r="O264" s="91">
        <v>30000000</v>
      </c>
      <c r="P264" s="196">
        <f t="shared" si="8"/>
        <v>90000000</v>
      </c>
      <c r="Q264" s="50"/>
      <c r="U264" s="71" t="s">
        <v>574</v>
      </c>
    </row>
    <row r="265" spans="1:21" s="71" customFormat="1" ht="85.5" x14ac:dyDescent="0.25">
      <c r="A265" s="207">
        <v>201</v>
      </c>
      <c r="B265" s="165" t="s">
        <v>486</v>
      </c>
      <c r="C265" s="74" t="s">
        <v>488</v>
      </c>
      <c r="D265" s="208" t="s">
        <v>681</v>
      </c>
      <c r="E265" s="209">
        <f t="shared" si="9"/>
        <v>120000000</v>
      </c>
      <c r="F265" s="89" t="s">
        <v>510</v>
      </c>
      <c r="G265" s="147" t="s">
        <v>511</v>
      </c>
      <c r="H265" s="73" t="s">
        <v>60</v>
      </c>
      <c r="I265" s="73" t="s">
        <v>133</v>
      </c>
      <c r="J265" s="89">
        <v>24</v>
      </c>
      <c r="K265" s="78">
        <v>43007</v>
      </c>
      <c r="L265" s="79">
        <v>43026</v>
      </c>
      <c r="M265" s="80" t="s">
        <v>42</v>
      </c>
      <c r="N265" s="90" t="s">
        <v>561</v>
      </c>
      <c r="O265" s="91">
        <v>30000000</v>
      </c>
      <c r="P265" s="196">
        <f t="shared" si="8"/>
        <v>90000000</v>
      </c>
      <c r="Q265" s="50"/>
      <c r="U265" s="71" t="s">
        <v>574</v>
      </c>
    </row>
    <row r="266" spans="1:21" s="71" customFormat="1" ht="85.5" x14ac:dyDescent="0.25">
      <c r="A266" s="207">
        <v>202</v>
      </c>
      <c r="B266" s="165" t="s">
        <v>486</v>
      </c>
      <c r="C266" s="74" t="s">
        <v>488</v>
      </c>
      <c r="D266" s="208" t="s">
        <v>681</v>
      </c>
      <c r="E266" s="209">
        <f t="shared" si="9"/>
        <v>120000000</v>
      </c>
      <c r="F266" s="89" t="s">
        <v>510</v>
      </c>
      <c r="G266" s="147" t="s">
        <v>511</v>
      </c>
      <c r="H266" s="73" t="s">
        <v>60</v>
      </c>
      <c r="I266" s="73" t="s">
        <v>133</v>
      </c>
      <c r="J266" s="89">
        <v>24</v>
      </c>
      <c r="K266" s="78">
        <v>43007</v>
      </c>
      <c r="L266" s="79">
        <v>43061</v>
      </c>
      <c r="M266" s="80" t="s">
        <v>42</v>
      </c>
      <c r="N266" s="90" t="s">
        <v>562</v>
      </c>
      <c r="O266" s="91">
        <v>30000000</v>
      </c>
      <c r="P266" s="196">
        <f t="shared" si="8"/>
        <v>90000000</v>
      </c>
      <c r="Q266" s="50"/>
      <c r="U266" s="71" t="s">
        <v>574</v>
      </c>
    </row>
    <row r="267" spans="1:21" s="71" customFormat="1" ht="85.5" x14ac:dyDescent="0.25">
      <c r="A267" s="207">
        <v>203</v>
      </c>
      <c r="B267" s="165" t="s">
        <v>486</v>
      </c>
      <c r="C267" s="74" t="s">
        <v>488</v>
      </c>
      <c r="D267" s="208" t="s">
        <v>681</v>
      </c>
      <c r="E267" s="209">
        <f t="shared" si="9"/>
        <v>120000000</v>
      </c>
      <c r="F267" s="89" t="s">
        <v>510</v>
      </c>
      <c r="G267" s="147" t="s">
        <v>511</v>
      </c>
      <c r="H267" s="73" t="s">
        <v>60</v>
      </c>
      <c r="I267" s="73" t="s">
        <v>133</v>
      </c>
      <c r="J267" s="89">
        <v>24</v>
      </c>
      <c r="K267" s="78">
        <v>43007</v>
      </c>
      <c r="L267" s="79">
        <v>43026</v>
      </c>
      <c r="M267" s="80" t="s">
        <v>42</v>
      </c>
      <c r="N267" s="90" t="s">
        <v>564</v>
      </c>
      <c r="O267" s="91">
        <v>30000000</v>
      </c>
      <c r="P267" s="196">
        <f t="shared" si="8"/>
        <v>90000000</v>
      </c>
      <c r="Q267" s="50"/>
      <c r="U267" s="71" t="s">
        <v>574</v>
      </c>
    </row>
    <row r="268" spans="1:21" s="71" customFormat="1" ht="85.5" x14ac:dyDescent="0.25">
      <c r="A268" s="207">
        <v>204</v>
      </c>
      <c r="B268" s="165" t="s">
        <v>486</v>
      </c>
      <c r="C268" s="74" t="s">
        <v>488</v>
      </c>
      <c r="D268" s="208" t="s">
        <v>681</v>
      </c>
      <c r="E268" s="209">
        <f t="shared" si="9"/>
        <v>120000000</v>
      </c>
      <c r="F268" s="89" t="s">
        <v>510</v>
      </c>
      <c r="G268" s="147" t="s">
        <v>511</v>
      </c>
      <c r="H268" s="73" t="s">
        <v>60</v>
      </c>
      <c r="I268" s="73" t="s">
        <v>133</v>
      </c>
      <c r="J268" s="89">
        <v>24</v>
      </c>
      <c r="K268" s="78">
        <v>43007</v>
      </c>
      <c r="L268" s="79">
        <v>43028</v>
      </c>
      <c r="M268" s="80" t="s">
        <v>42</v>
      </c>
      <c r="N268" s="90" t="s">
        <v>565</v>
      </c>
      <c r="O268" s="91">
        <v>30000000</v>
      </c>
      <c r="P268" s="196">
        <f t="shared" si="8"/>
        <v>90000000</v>
      </c>
      <c r="Q268" s="50"/>
      <c r="U268" s="71" t="s">
        <v>574</v>
      </c>
    </row>
    <row r="269" spans="1:21" s="71" customFormat="1" ht="85.5" x14ac:dyDescent="0.25">
      <c r="A269" s="207">
        <v>205</v>
      </c>
      <c r="B269" s="165" t="s">
        <v>486</v>
      </c>
      <c r="C269" s="74" t="s">
        <v>488</v>
      </c>
      <c r="D269" s="208" t="s">
        <v>681</v>
      </c>
      <c r="E269" s="209">
        <f t="shared" si="9"/>
        <v>120000000</v>
      </c>
      <c r="F269" s="89" t="s">
        <v>510</v>
      </c>
      <c r="G269" s="147" t="s">
        <v>511</v>
      </c>
      <c r="H269" s="73" t="s">
        <v>60</v>
      </c>
      <c r="I269" s="73" t="s">
        <v>133</v>
      </c>
      <c r="J269" s="89">
        <v>24</v>
      </c>
      <c r="K269" s="78">
        <v>43007</v>
      </c>
      <c r="L269" s="79">
        <v>43026</v>
      </c>
      <c r="M269" s="80" t="s">
        <v>42</v>
      </c>
      <c r="N269" s="90" t="s">
        <v>566</v>
      </c>
      <c r="O269" s="91">
        <v>30000000</v>
      </c>
      <c r="P269" s="196">
        <f t="shared" si="8"/>
        <v>90000000</v>
      </c>
      <c r="Q269" s="50"/>
      <c r="U269" s="71" t="s">
        <v>574</v>
      </c>
    </row>
    <row r="270" spans="1:21" s="71" customFormat="1" ht="85.5" x14ac:dyDescent="0.25">
      <c r="A270" s="207">
        <v>206</v>
      </c>
      <c r="B270" s="165" t="s">
        <v>486</v>
      </c>
      <c r="C270" s="74" t="s">
        <v>488</v>
      </c>
      <c r="D270" s="208" t="s">
        <v>681</v>
      </c>
      <c r="E270" s="209">
        <f t="shared" si="9"/>
        <v>120000000</v>
      </c>
      <c r="F270" s="89" t="s">
        <v>510</v>
      </c>
      <c r="G270" s="147" t="s">
        <v>511</v>
      </c>
      <c r="H270" s="73" t="s">
        <v>60</v>
      </c>
      <c r="I270" s="73" t="s">
        <v>133</v>
      </c>
      <c r="J270" s="89">
        <v>24</v>
      </c>
      <c r="K270" s="78">
        <v>43007</v>
      </c>
      <c r="L270" s="79">
        <v>43026</v>
      </c>
      <c r="M270" s="80" t="s">
        <v>42</v>
      </c>
      <c r="N270" s="90" t="s">
        <v>567</v>
      </c>
      <c r="O270" s="91">
        <v>30000000</v>
      </c>
      <c r="P270" s="196">
        <f t="shared" si="8"/>
        <v>90000000</v>
      </c>
      <c r="Q270" s="50"/>
      <c r="U270" s="71" t="s">
        <v>574</v>
      </c>
    </row>
    <row r="271" spans="1:21" s="71" customFormat="1" ht="85.5" x14ac:dyDescent="0.25">
      <c r="A271" s="207">
        <v>207</v>
      </c>
      <c r="B271" s="165" t="s">
        <v>486</v>
      </c>
      <c r="C271" s="74" t="s">
        <v>488</v>
      </c>
      <c r="D271" s="208" t="s">
        <v>681</v>
      </c>
      <c r="E271" s="209">
        <f t="shared" si="9"/>
        <v>120000000</v>
      </c>
      <c r="F271" s="89" t="s">
        <v>510</v>
      </c>
      <c r="G271" s="147" t="s">
        <v>511</v>
      </c>
      <c r="H271" s="73" t="s">
        <v>60</v>
      </c>
      <c r="I271" s="73" t="s">
        <v>133</v>
      </c>
      <c r="J271" s="89">
        <v>24</v>
      </c>
      <c r="K271" s="78">
        <v>43007</v>
      </c>
      <c r="L271" s="79">
        <v>43028</v>
      </c>
      <c r="M271" s="80" t="s">
        <v>42</v>
      </c>
      <c r="N271" s="90" t="s">
        <v>568</v>
      </c>
      <c r="O271" s="91">
        <v>30000000</v>
      </c>
      <c r="P271" s="196">
        <f t="shared" si="8"/>
        <v>90000000</v>
      </c>
      <c r="Q271" s="50"/>
      <c r="U271" s="71" t="s">
        <v>574</v>
      </c>
    </row>
    <row r="272" spans="1:21" s="71" customFormat="1" ht="85.5" x14ac:dyDescent="0.25">
      <c r="A272" s="207">
        <v>208</v>
      </c>
      <c r="B272" s="165" t="s">
        <v>486</v>
      </c>
      <c r="C272" s="74" t="s">
        <v>488</v>
      </c>
      <c r="D272" s="208" t="s">
        <v>681</v>
      </c>
      <c r="E272" s="209">
        <f t="shared" si="9"/>
        <v>120000000</v>
      </c>
      <c r="F272" s="89" t="s">
        <v>510</v>
      </c>
      <c r="G272" s="147" t="s">
        <v>511</v>
      </c>
      <c r="H272" s="73" t="s">
        <v>60</v>
      </c>
      <c r="I272" s="73" t="s">
        <v>133</v>
      </c>
      <c r="J272" s="89">
        <v>24</v>
      </c>
      <c r="K272" s="78">
        <v>43007</v>
      </c>
      <c r="L272" s="79">
        <v>43026</v>
      </c>
      <c r="M272" s="80" t="s">
        <v>42</v>
      </c>
      <c r="N272" s="90" t="s">
        <v>569</v>
      </c>
      <c r="O272" s="91">
        <v>30000000</v>
      </c>
      <c r="P272" s="196">
        <f t="shared" si="8"/>
        <v>90000000</v>
      </c>
      <c r="Q272" s="50"/>
      <c r="U272" s="71" t="s">
        <v>574</v>
      </c>
    </row>
    <row r="273" spans="1:21" s="71" customFormat="1" ht="85.5" x14ac:dyDescent="0.25">
      <c r="A273" s="207">
        <v>209</v>
      </c>
      <c r="B273" s="165" t="s">
        <v>486</v>
      </c>
      <c r="C273" s="74" t="s">
        <v>488</v>
      </c>
      <c r="D273" s="208" t="s">
        <v>681</v>
      </c>
      <c r="E273" s="209">
        <f t="shared" si="9"/>
        <v>120000000</v>
      </c>
      <c r="F273" s="89" t="s">
        <v>510</v>
      </c>
      <c r="G273" s="147" t="s">
        <v>511</v>
      </c>
      <c r="H273" s="73" t="s">
        <v>60</v>
      </c>
      <c r="I273" s="73" t="s">
        <v>133</v>
      </c>
      <c r="J273" s="89">
        <v>24</v>
      </c>
      <c r="K273" s="78">
        <v>43007</v>
      </c>
      <c r="L273" s="79">
        <v>43026</v>
      </c>
      <c r="M273" s="80" t="s">
        <v>42</v>
      </c>
      <c r="N273" s="90" t="s">
        <v>570</v>
      </c>
      <c r="O273" s="91">
        <v>30000000</v>
      </c>
      <c r="P273" s="196">
        <f t="shared" si="8"/>
        <v>90000000</v>
      </c>
      <c r="Q273" s="50"/>
      <c r="U273" s="71" t="s">
        <v>574</v>
      </c>
    </row>
    <row r="274" spans="1:21" s="71" customFormat="1" ht="85.5" x14ac:dyDescent="0.25">
      <c r="A274" s="207">
        <v>210</v>
      </c>
      <c r="B274" s="165" t="s">
        <v>486</v>
      </c>
      <c r="C274" s="74" t="s">
        <v>488</v>
      </c>
      <c r="D274" s="208" t="s">
        <v>681</v>
      </c>
      <c r="E274" s="209">
        <f t="shared" si="9"/>
        <v>120000000</v>
      </c>
      <c r="F274" s="89" t="s">
        <v>510</v>
      </c>
      <c r="G274" s="147" t="s">
        <v>511</v>
      </c>
      <c r="H274" s="73" t="s">
        <v>60</v>
      </c>
      <c r="I274" s="73" t="s">
        <v>133</v>
      </c>
      <c r="J274" s="89">
        <v>24</v>
      </c>
      <c r="K274" s="78">
        <v>43007</v>
      </c>
      <c r="L274" s="79">
        <v>43028</v>
      </c>
      <c r="M274" s="80" t="s">
        <v>42</v>
      </c>
      <c r="N274" s="90" t="s">
        <v>571</v>
      </c>
      <c r="O274" s="91">
        <v>30000000</v>
      </c>
      <c r="P274" s="196">
        <f t="shared" si="8"/>
        <v>90000000</v>
      </c>
      <c r="Q274" s="50"/>
      <c r="U274" s="71" t="s">
        <v>574</v>
      </c>
    </row>
    <row r="275" spans="1:21" s="71" customFormat="1" ht="85.5" x14ac:dyDescent="0.25">
      <c r="A275" s="207">
        <v>211</v>
      </c>
      <c r="B275" s="165" t="s">
        <v>486</v>
      </c>
      <c r="C275" s="74" t="s">
        <v>488</v>
      </c>
      <c r="D275" s="208" t="s">
        <v>681</v>
      </c>
      <c r="E275" s="209">
        <f t="shared" si="9"/>
        <v>120000000</v>
      </c>
      <c r="F275" s="89" t="s">
        <v>510</v>
      </c>
      <c r="G275" s="147" t="s">
        <v>511</v>
      </c>
      <c r="H275" s="73" t="s">
        <v>60</v>
      </c>
      <c r="I275" s="73" t="s">
        <v>133</v>
      </c>
      <c r="J275" s="89">
        <v>24</v>
      </c>
      <c r="K275" s="78">
        <v>43007</v>
      </c>
      <c r="L275" s="79">
        <v>43026</v>
      </c>
      <c r="M275" s="80" t="s">
        <v>42</v>
      </c>
      <c r="N275" s="90" t="s">
        <v>572</v>
      </c>
      <c r="O275" s="91">
        <v>30000000</v>
      </c>
      <c r="P275" s="196">
        <f t="shared" si="8"/>
        <v>90000000</v>
      </c>
      <c r="Q275" s="50"/>
      <c r="U275" s="71" t="s">
        <v>574</v>
      </c>
    </row>
    <row r="276" spans="1:21" s="71" customFormat="1" ht="85.5" x14ac:dyDescent="0.25">
      <c r="A276" s="207">
        <v>212</v>
      </c>
      <c r="B276" s="165" t="s">
        <v>486</v>
      </c>
      <c r="C276" s="74" t="s">
        <v>488</v>
      </c>
      <c r="D276" s="208" t="s">
        <v>681</v>
      </c>
      <c r="E276" s="209">
        <f t="shared" si="9"/>
        <v>120000000</v>
      </c>
      <c r="F276" s="89" t="s">
        <v>510</v>
      </c>
      <c r="G276" s="147" t="s">
        <v>511</v>
      </c>
      <c r="H276" s="73" t="s">
        <v>60</v>
      </c>
      <c r="I276" s="73" t="s">
        <v>133</v>
      </c>
      <c r="J276" s="89">
        <v>24</v>
      </c>
      <c r="K276" s="78">
        <v>43007</v>
      </c>
      <c r="L276" s="79">
        <v>43026</v>
      </c>
      <c r="M276" s="80" t="s">
        <v>42</v>
      </c>
      <c r="N276" s="150"/>
      <c r="O276" s="107"/>
      <c r="P276" s="196">
        <f t="shared" si="8"/>
        <v>120000000</v>
      </c>
      <c r="Q276" s="50"/>
      <c r="U276" s="71" t="s">
        <v>370</v>
      </c>
    </row>
    <row r="277" spans="1:21" s="71" customFormat="1" ht="85.5" x14ac:dyDescent="0.25">
      <c r="A277" s="207">
        <v>213</v>
      </c>
      <c r="B277" s="165" t="s">
        <v>486</v>
      </c>
      <c r="C277" s="74" t="s">
        <v>488</v>
      </c>
      <c r="D277" s="208" t="s">
        <v>681</v>
      </c>
      <c r="E277" s="209">
        <f t="shared" si="9"/>
        <v>120000000</v>
      </c>
      <c r="F277" s="89" t="s">
        <v>510</v>
      </c>
      <c r="G277" s="147" t="s">
        <v>511</v>
      </c>
      <c r="H277" s="73" t="s">
        <v>60</v>
      </c>
      <c r="I277" s="73" t="s">
        <v>133</v>
      </c>
      <c r="J277" s="89">
        <v>24</v>
      </c>
      <c r="K277" s="78">
        <v>43007</v>
      </c>
      <c r="L277" s="79">
        <v>43028</v>
      </c>
      <c r="M277" s="80" t="s">
        <v>42</v>
      </c>
      <c r="N277" s="150"/>
      <c r="O277" s="107"/>
      <c r="P277" s="196">
        <f t="shared" si="8"/>
        <v>120000000</v>
      </c>
      <c r="Q277" s="50"/>
      <c r="U277" s="71" t="s">
        <v>370</v>
      </c>
    </row>
    <row r="278" spans="1:21" s="71" customFormat="1" ht="85.5" x14ac:dyDescent="0.25">
      <c r="A278" s="207">
        <v>214</v>
      </c>
      <c r="B278" s="165" t="s">
        <v>486</v>
      </c>
      <c r="C278" s="74" t="s">
        <v>488</v>
      </c>
      <c r="D278" s="208" t="s">
        <v>681</v>
      </c>
      <c r="E278" s="209">
        <f t="shared" si="9"/>
        <v>120000000</v>
      </c>
      <c r="F278" s="89" t="s">
        <v>510</v>
      </c>
      <c r="G278" s="147" t="s">
        <v>511</v>
      </c>
      <c r="H278" s="73" t="s">
        <v>60</v>
      </c>
      <c r="I278" s="73" t="s">
        <v>133</v>
      </c>
      <c r="J278" s="89">
        <v>24</v>
      </c>
      <c r="K278" s="78">
        <v>43007</v>
      </c>
      <c r="L278" s="79">
        <v>43028</v>
      </c>
      <c r="M278" s="80" t="s">
        <v>42</v>
      </c>
      <c r="N278" s="150"/>
      <c r="O278" s="107"/>
      <c r="P278" s="196">
        <f t="shared" si="8"/>
        <v>120000000</v>
      </c>
      <c r="Q278" s="50"/>
      <c r="U278" s="71" t="s">
        <v>370</v>
      </c>
    </row>
    <row r="279" spans="1:21" s="71" customFormat="1" ht="85.5" x14ac:dyDescent="0.25">
      <c r="A279" s="207">
        <v>215</v>
      </c>
      <c r="B279" s="165" t="s">
        <v>486</v>
      </c>
      <c r="C279" s="74" t="s">
        <v>488</v>
      </c>
      <c r="D279" s="208" t="s">
        <v>681</v>
      </c>
      <c r="E279" s="209">
        <f t="shared" si="9"/>
        <v>120000000</v>
      </c>
      <c r="F279" s="89" t="s">
        <v>510</v>
      </c>
      <c r="G279" s="147" t="s">
        <v>511</v>
      </c>
      <c r="H279" s="73" t="s">
        <v>60</v>
      </c>
      <c r="I279" s="73" t="s">
        <v>133</v>
      </c>
      <c r="J279" s="89">
        <v>24</v>
      </c>
      <c r="K279" s="78">
        <v>43007</v>
      </c>
      <c r="L279" s="79">
        <v>43061</v>
      </c>
      <c r="M279" s="80" t="s">
        <v>42</v>
      </c>
      <c r="N279" s="150"/>
      <c r="O279" s="107"/>
      <c r="P279" s="196">
        <f t="shared" si="8"/>
        <v>120000000</v>
      </c>
      <c r="Q279" s="50"/>
      <c r="U279" s="71" t="s">
        <v>370</v>
      </c>
    </row>
    <row r="280" spans="1:21" s="71" customFormat="1" ht="85.5" x14ac:dyDescent="0.25">
      <c r="A280" s="207">
        <v>216</v>
      </c>
      <c r="B280" s="165" t="s">
        <v>486</v>
      </c>
      <c r="C280" s="74" t="s">
        <v>488</v>
      </c>
      <c r="D280" s="208" t="s">
        <v>493</v>
      </c>
      <c r="E280" s="209">
        <f>307662718-20137080</f>
        <v>287525638</v>
      </c>
      <c r="F280" s="89" t="s">
        <v>510</v>
      </c>
      <c r="G280" s="147" t="s">
        <v>511</v>
      </c>
      <c r="H280" s="73" t="s">
        <v>108</v>
      </c>
      <c r="I280" s="73" t="s">
        <v>308</v>
      </c>
      <c r="J280" s="89">
        <v>6</v>
      </c>
      <c r="K280" s="78">
        <v>39387</v>
      </c>
      <c r="L280" s="79">
        <v>43115</v>
      </c>
      <c r="M280" s="80" t="s">
        <v>42</v>
      </c>
      <c r="N280" s="150"/>
      <c r="O280" s="107"/>
      <c r="P280" s="196">
        <f t="shared" si="8"/>
        <v>287525638</v>
      </c>
      <c r="Q280" s="50"/>
      <c r="U280" s="71" t="s">
        <v>370</v>
      </c>
    </row>
    <row r="281" spans="1:21" s="71" customFormat="1" ht="85.5" x14ac:dyDescent="0.25">
      <c r="A281" s="207">
        <v>217</v>
      </c>
      <c r="B281" s="165" t="s">
        <v>486</v>
      </c>
      <c r="C281" s="74" t="s">
        <v>488</v>
      </c>
      <c r="D281" s="208" t="s">
        <v>494</v>
      </c>
      <c r="E281" s="209">
        <v>96000000</v>
      </c>
      <c r="F281" s="89" t="s">
        <v>510</v>
      </c>
      <c r="G281" s="147" t="s">
        <v>511</v>
      </c>
      <c r="H281" s="73" t="s">
        <v>60</v>
      </c>
      <c r="I281" s="73" t="s">
        <v>308</v>
      </c>
      <c r="J281" s="89">
        <v>15</v>
      </c>
      <c r="K281" s="78">
        <v>39387</v>
      </c>
      <c r="L281" s="79">
        <v>43115</v>
      </c>
      <c r="M281" s="80" t="s">
        <v>42</v>
      </c>
      <c r="N281" s="150"/>
      <c r="O281" s="107"/>
      <c r="P281" s="196">
        <f t="shared" si="8"/>
        <v>96000000</v>
      </c>
      <c r="Q281" s="50"/>
      <c r="U281" s="71" t="s">
        <v>370</v>
      </c>
    </row>
    <row r="282" spans="1:21" s="71" customFormat="1" ht="85.5" x14ac:dyDescent="0.25">
      <c r="A282" s="207">
        <v>218</v>
      </c>
      <c r="B282" s="165" t="s">
        <v>486</v>
      </c>
      <c r="C282" s="74" t="s">
        <v>488</v>
      </c>
      <c r="D282" s="208" t="s">
        <v>495</v>
      </c>
      <c r="E282" s="209">
        <v>72000000</v>
      </c>
      <c r="F282" s="89" t="s">
        <v>510</v>
      </c>
      <c r="G282" s="147" t="s">
        <v>511</v>
      </c>
      <c r="H282" s="73" t="s">
        <v>60</v>
      </c>
      <c r="I282" s="73" t="s">
        <v>308</v>
      </c>
      <c r="J282" s="89">
        <v>12</v>
      </c>
      <c r="K282" s="78">
        <v>43040</v>
      </c>
      <c r="L282" s="79">
        <v>43028</v>
      </c>
      <c r="M282" s="80" t="s">
        <v>42</v>
      </c>
      <c r="N282" s="150"/>
      <c r="O282" s="107"/>
      <c r="P282" s="196">
        <f t="shared" si="8"/>
        <v>72000000</v>
      </c>
      <c r="Q282" s="50"/>
      <c r="U282" s="71" t="s">
        <v>574</v>
      </c>
    </row>
    <row r="283" spans="1:21" s="71" customFormat="1" ht="114" x14ac:dyDescent="0.25">
      <c r="A283" s="207">
        <v>219</v>
      </c>
      <c r="B283" s="165" t="s">
        <v>486</v>
      </c>
      <c r="C283" s="74" t="s">
        <v>488</v>
      </c>
      <c r="D283" s="208" t="s">
        <v>680</v>
      </c>
      <c r="E283" s="209">
        <v>60000000</v>
      </c>
      <c r="F283" s="89" t="s">
        <v>510</v>
      </c>
      <c r="G283" s="147" t="s">
        <v>511</v>
      </c>
      <c r="H283" s="73" t="s">
        <v>60</v>
      </c>
      <c r="I283" s="73" t="s">
        <v>308</v>
      </c>
      <c r="J283" s="89">
        <v>12</v>
      </c>
      <c r="K283" s="78">
        <v>43132</v>
      </c>
      <c r="L283" s="79">
        <v>43028</v>
      </c>
      <c r="M283" s="80" t="s">
        <v>42</v>
      </c>
      <c r="N283" s="150"/>
      <c r="O283" s="107"/>
      <c r="P283" s="196">
        <f t="shared" si="8"/>
        <v>60000000</v>
      </c>
      <c r="Q283" s="50"/>
      <c r="U283" s="71" t="s">
        <v>574</v>
      </c>
    </row>
    <row r="284" spans="1:21" s="71" customFormat="1" ht="114" x14ac:dyDescent="0.25">
      <c r="A284" s="207">
        <v>220</v>
      </c>
      <c r="B284" s="165" t="s">
        <v>486</v>
      </c>
      <c r="C284" s="74" t="s">
        <v>488</v>
      </c>
      <c r="D284" s="208" t="s">
        <v>680</v>
      </c>
      <c r="E284" s="209">
        <v>60000000</v>
      </c>
      <c r="F284" s="89" t="s">
        <v>510</v>
      </c>
      <c r="G284" s="147" t="s">
        <v>511</v>
      </c>
      <c r="H284" s="73" t="s">
        <v>60</v>
      </c>
      <c r="I284" s="73" t="s">
        <v>308</v>
      </c>
      <c r="J284" s="89">
        <v>12</v>
      </c>
      <c r="K284" s="78">
        <v>43132</v>
      </c>
      <c r="L284" s="79">
        <v>43146</v>
      </c>
      <c r="M284" s="80" t="s">
        <v>42</v>
      </c>
      <c r="N284" s="150"/>
      <c r="O284" s="107"/>
      <c r="P284" s="196">
        <f t="shared" si="8"/>
        <v>60000000</v>
      </c>
      <c r="Q284" s="50"/>
      <c r="U284" s="71" t="s">
        <v>370</v>
      </c>
    </row>
    <row r="285" spans="1:21" s="71" customFormat="1" ht="114" x14ac:dyDescent="0.25">
      <c r="A285" s="207">
        <v>221</v>
      </c>
      <c r="B285" s="165" t="s">
        <v>486</v>
      </c>
      <c r="C285" s="74" t="s">
        <v>488</v>
      </c>
      <c r="D285" s="208" t="s">
        <v>680</v>
      </c>
      <c r="E285" s="209">
        <v>60000000</v>
      </c>
      <c r="F285" s="89" t="s">
        <v>510</v>
      </c>
      <c r="G285" s="147" t="s">
        <v>511</v>
      </c>
      <c r="H285" s="73" t="s">
        <v>60</v>
      </c>
      <c r="I285" s="73" t="s">
        <v>308</v>
      </c>
      <c r="J285" s="89">
        <v>12</v>
      </c>
      <c r="K285" s="78">
        <v>43132</v>
      </c>
      <c r="L285" s="79">
        <v>43146</v>
      </c>
      <c r="M285" s="80" t="s">
        <v>42</v>
      </c>
      <c r="N285" s="150"/>
      <c r="O285" s="107"/>
      <c r="P285" s="196">
        <f t="shared" si="8"/>
        <v>60000000</v>
      </c>
      <c r="Q285" s="50"/>
      <c r="U285" s="71" t="s">
        <v>370</v>
      </c>
    </row>
    <row r="286" spans="1:21" s="71" customFormat="1" ht="114" customHeight="1" x14ac:dyDescent="0.25">
      <c r="A286" s="207">
        <v>222</v>
      </c>
      <c r="B286" s="165" t="s">
        <v>486</v>
      </c>
      <c r="C286" s="74" t="s">
        <v>487</v>
      </c>
      <c r="D286" s="208" t="s">
        <v>680</v>
      </c>
      <c r="E286" s="209">
        <v>60000000</v>
      </c>
      <c r="F286" s="89" t="s">
        <v>510</v>
      </c>
      <c r="G286" s="147" t="s">
        <v>511</v>
      </c>
      <c r="H286" s="73" t="s">
        <v>60</v>
      </c>
      <c r="I286" s="73" t="s">
        <v>308</v>
      </c>
      <c r="J286" s="89">
        <v>12</v>
      </c>
      <c r="K286" s="78">
        <v>43132</v>
      </c>
      <c r="L286" s="79">
        <v>43146</v>
      </c>
      <c r="M286" s="80" t="s">
        <v>42</v>
      </c>
      <c r="N286" s="150"/>
      <c r="O286" s="107"/>
      <c r="P286" s="196">
        <f t="shared" si="8"/>
        <v>60000000</v>
      </c>
      <c r="Q286" s="50"/>
      <c r="U286" s="71" t="s">
        <v>370</v>
      </c>
    </row>
    <row r="287" spans="1:21" s="71" customFormat="1" ht="111.75" customHeight="1" x14ac:dyDescent="0.25">
      <c r="A287" s="207">
        <v>223</v>
      </c>
      <c r="B287" s="165" t="s">
        <v>486</v>
      </c>
      <c r="C287" s="74" t="s">
        <v>487</v>
      </c>
      <c r="D287" s="208" t="s">
        <v>680</v>
      </c>
      <c r="E287" s="209">
        <v>60000000</v>
      </c>
      <c r="F287" s="89" t="s">
        <v>510</v>
      </c>
      <c r="G287" s="147" t="s">
        <v>511</v>
      </c>
      <c r="H287" s="73" t="s">
        <v>60</v>
      </c>
      <c r="I287" s="73" t="s">
        <v>308</v>
      </c>
      <c r="J287" s="89">
        <v>12</v>
      </c>
      <c r="K287" s="78">
        <v>43132</v>
      </c>
      <c r="L287" s="79">
        <v>43146</v>
      </c>
      <c r="M287" s="80" t="s">
        <v>42</v>
      </c>
      <c r="N287" s="150"/>
      <c r="O287" s="107"/>
      <c r="P287" s="196">
        <f t="shared" si="8"/>
        <v>60000000</v>
      </c>
      <c r="Q287" s="50"/>
      <c r="U287" s="71" t="s">
        <v>370</v>
      </c>
    </row>
    <row r="288" spans="1:21" s="71" customFormat="1" ht="121.5" customHeight="1" x14ac:dyDescent="0.25">
      <c r="A288" s="207">
        <v>224</v>
      </c>
      <c r="B288" s="165" t="s">
        <v>486</v>
      </c>
      <c r="C288" s="74" t="s">
        <v>487</v>
      </c>
      <c r="D288" s="208" t="s">
        <v>496</v>
      </c>
      <c r="E288" s="209">
        <v>1035020006</v>
      </c>
      <c r="F288" s="89" t="s">
        <v>510</v>
      </c>
      <c r="G288" s="147" t="s">
        <v>511</v>
      </c>
      <c r="H288" s="73" t="s">
        <v>108</v>
      </c>
      <c r="I288" s="73" t="s">
        <v>308</v>
      </c>
      <c r="J288" s="89">
        <v>12</v>
      </c>
      <c r="K288" s="78">
        <v>43040</v>
      </c>
      <c r="L288" s="79">
        <v>43132</v>
      </c>
      <c r="M288" s="80" t="s">
        <v>42</v>
      </c>
      <c r="N288" s="150"/>
      <c r="O288" s="107"/>
      <c r="P288" s="196">
        <f t="shared" si="8"/>
        <v>1035020006</v>
      </c>
      <c r="Q288" s="50"/>
      <c r="U288" s="71" t="s">
        <v>370</v>
      </c>
    </row>
    <row r="289" spans="1:21" s="71" customFormat="1" ht="199.5" x14ac:dyDescent="0.25">
      <c r="A289" s="207">
        <v>225</v>
      </c>
      <c r="B289" s="165" t="s">
        <v>486</v>
      </c>
      <c r="C289" s="74" t="s">
        <v>487</v>
      </c>
      <c r="D289" s="208" t="s">
        <v>497</v>
      </c>
      <c r="E289" s="209">
        <f>5000000*24</f>
        <v>120000000</v>
      </c>
      <c r="F289" s="89" t="s">
        <v>510</v>
      </c>
      <c r="G289" s="147" t="s">
        <v>511</v>
      </c>
      <c r="H289" s="73" t="s">
        <v>60</v>
      </c>
      <c r="I289" s="73" t="s">
        <v>133</v>
      </c>
      <c r="J289" s="89">
        <v>24</v>
      </c>
      <c r="K289" s="78">
        <v>43004</v>
      </c>
      <c r="L289" s="79">
        <v>43012</v>
      </c>
      <c r="M289" s="80" t="s">
        <v>42</v>
      </c>
      <c r="N289" s="90" t="s">
        <v>520</v>
      </c>
      <c r="O289" s="91">
        <v>15000000</v>
      </c>
      <c r="P289" s="196">
        <f t="shared" si="8"/>
        <v>105000000</v>
      </c>
      <c r="Q289" s="50"/>
      <c r="U289" s="71" t="s">
        <v>574</v>
      </c>
    </row>
    <row r="290" spans="1:21" s="71" customFormat="1" ht="228" x14ac:dyDescent="0.25">
      <c r="A290" s="207">
        <v>226</v>
      </c>
      <c r="B290" s="165" t="s">
        <v>486</v>
      </c>
      <c r="C290" s="74" t="s">
        <v>487</v>
      </c>
      <c r="D290" s="208" t="s">
        <v>498</v>
      </c>
      <c r="E290" s="209">
        <f>5000000*24</f>
        <v>120000000</v>
      </c>
      <c r="F290" s="89" t="s">
        <v>510</v>
      </c>
      <c r="G290" s="147" t="s">
        <v>511</v>
      </c>
      <c r="H290" s="73" t="s">
        <v>60</v>
      </c>
      <c r="I290" s="73" t="s">
        <v>133</v>
      </c>
      <c r="J290" s="89">
        <v>24</v>
      </c>
      <c r="K290" s="78">
        <v>43005</v>
      </c>
      <c r="L290" s="79">
        <v>43012</v>
      </c>
      <c r="M290" s="80" t="s">
        <v>42</v>
      </c>
      <c r="N290" s="150"/>
      <c r="O290" s="107"/>
      <c r="P290" s="196">
        <f t="shared" si="8"/>
        <v>120000000</v>
      </c>
      <c r="Q290" s="50"/>
      <c r="U290" s="71" t="s">
        <v>370</v>
      </c>
    </row>
    <row r="291" spans="1:21" s="71" customFormat="1" ht="141.75" customHeight="1" x14ac:dyDescent="0.25">
      <c r="A291" s="207">
        <v>227</v>
      </c>
      <c r="B291" s="165" t="s">
        <v>486</v>
      </c>
      <c r="C291" s="74" t="s">
        <v>487</v>
      </c>
      <c r="D291" s="208" t="s">
        <v>499</v>
      </c>
      <c r="E291" s="209">
        <f>1800000*24</f>
        <v>43200000</v>
      </c>
      <c r="F291" s="89" t="s">
        <v>510</v>
      </c>
      <c r="G291" s="147" t="s">
        <v>511</v>
      </c>
      <c r="H291" s="73" t="s">
        <v>60</v>
      </c>
      <c r="I291" s="73" t="s">
        <v>133</v>
      </c>
      <c r="J291" s="89">
        <v>24</v>
      </c>
      <c r="K291" s="78">
        <v>43007</v>
      </c>
      <c r="L291" s="79">
        <v>43012</v>
      </c>
      <c r="M291" s="80" t="s">
        <v>42</v>
      </c>
      <c r="N291" s="150"/>
      <c r="O291" s="107"/>
      <c r="P291" s="196">
        <f t="shared" si="8"/>
        <v>43200000</v>
      </c>
      <c r="Q291" s="50"/>
      <c r="U291" s="71" t="s">
        <v>370</v>
      </c>
    </row>
    <row r="292" spans="1:21" s="71" customFormat="1" ht="114" customHeight="1" x14ac:dyDescent="0.25">
      <c r="A292" s="207">
        <v>228</v>
      </c>
      <c r="B292" s="165" t="s">
        <v>486</v>
      </c>
      <c r="C292" s="74" t="s">
        <v>487</v>
      </c>
      <c r="D292" s="208" t="s">
        <v>500</v>
      </c>
      <c r="E292" s="209">
        <f>2000000*24</f>
        <v>48000000</v>
      </c>
      <c r="F292" s="89" t="s">
        <v>510</v>
      </c>
      <c r="G292" s="147" t="s">
        <v>511</v>
      </c>
      <c r="H292" s="73" t="s">
        <v>60</v>
      </c>
      <c r="I292" s="73" t="s">
        <v>133</v>
      </c>
      <c r="J292" s="89">
        <v>24</v>
      </c>
      <c r="K292" s="78">
        <v>43004</v>
      </c>
      <c r="L292" s="79">
        <v>43017</v>
      </c>
      <c r="M292" s="80" t="s">
        <v>42</v>
      </c>
      <c r="N292" s="90" t="s">
        <v>547</v>
      </c>
      <c r="O292" s="91">
        <v>6000000</v>
      </c>
      <c r="P292" s="196">
        <f t="shared" si="8"/>
        <v>42000000</v>
      </c>
      <c r="Q292" s="50"/>
      <c r="U292" s="71" t="s">
        <v>574</v>
      </c>
    </row>
    <row r="293" spans="1:21" s="71" customFormat="1" ht="119.25" customHeight="1" x14ac:dyDescent="0.25">
      <c r="A293" s="207">
        <v>229</v>
      </c>
      <c r="B293" s="165" t="s">
        <v>486</v>
      </c>
      <c r="C293" s="74" t="s">
        <v>487</v>
      </c>
      <c r="D293" s="208" t="s">
        <v>500</v>
      </c>
      <c r="E293" s="209">
        <f>2000000*24</f>
        <v>48000000</v>
      </c>
      <c r="F293" s="89" t="s">
        <v>510</v>
      </c>
      <c r="G293" s="147" t="s">
        <v>511</v>
      </c>
      <c r="H293" s="73" t="s">
        <v>60</v>
      </c>
      <c r="I293" s="73" t="s">
        <v>133</v>
      </c>
      <c r="J293" s="89">
        <v>24</v>
      </c>
      <c r="K293" s="78">
        <v>43004</v>
      </c>
      <c r="L293" s="79">
        <v>43017</v>
      </c>
      <c r="M293" s="80" t="s">
        <v>42</v>
      </c>
      <c r="N293" s="90" t="s">
        <v>548</v>
      </c>
      <c r="O293" s="91">
        <v>6000000</v>
      </c>
      <c r="P293" s="196">
        <f t="shared" si="8"/>
        <v>42000000</v>
      </c>
      <c r="Q293" s="50"/>
      <c r="U293" s="71" t="s">
        <v>574</v>
      </c>
    </row>
    <row r="294" spans="1:21" s="71" customFormat="1" ht="115.5" customHeight="1" x14ac:dyDescent="0.25">
      <c r="A294" s="207">
        <v>230</v>
      </c>
      <c r="B294" s="165" t="s">
        <v>486</v>
      </c>
      <c r="C294" s="74" t="s">
        <v>487</v>
      </c>
      <c r="D294" s="208" t="s">
        <v>500</v>
      </c>
      <c r="E294" s="209">
        <f>2000000*24</f>
        <v>48000000</v>
      </c>
      <c r="F294" s="89" t="s">
        <v>510</v>
      </c>
      <c r="G294" s="147" t="s">
        <v>511</v>
      </c>
      <c r="H294" s="73" t="s">
        <v>60</v>
      </c>
      <c r="I294" s="73" t="s">
        <v>133</v>
      </c>
      <c r="J294" s="89">
        <v>24</v>
      </c>
      <c r="K294" s="78">
        <v>43004</v>
      </c>
      <c r="L294" s="79">
        <v>43020</v>
      </c>
      <c r="M294" s="80" t="s">
        <v>42</v>
      </c>
      <c r="N294" s="90" t="s">
        <v>549</v>
      </c>
      <c r="O294" s="91">
        <v>6000000</v>
      </c>
      <c r="P294" s="196">
        <f t="shared" si="8"/>
        <v>42000000</v>
      </c>
      <c r="Q294" s="50"/>
      <c r="U294" s="71" t="s">
        <v>574</v>
      </c>
    </row>
    <row r="295" spans="1:21" s="71" customFormat="1" ht="119.25" customHeight="1" x14ac:dyDescent="0.25">
      <c r="A295" s="207">
        <v>231</v>
      </c>
      <c r="B295" s="165" t="s">
        <v>486</v>
      </c>
      <c r="C295" s="74" t="s">
        <v>487</v>
      </c>
      <c r="D295" s="208" t="s">
        <v>500</v>
      </c>
      <c r="E295" s="209">
        <f>2000000*24</f>
        <v>48000000</v>
      </c>
      <c r="F295" s="89" t="s">
        <v>510</v>
      </c>
      <c r="G295" s="147" t="s">
        <v>511</v>
      </c>
      <c r="H295" s="73" t="s">
        <v>60</v>
      </c>
      <c r="I295" s="73" t="s">
        <v>133</v>
      </c>
      <c r="J295" s="89">
        <v>24</v>
      </c>
      <c r="K295" s="78">
        <v>43004</v>
      </c>
      <c r="L295" s="79">
        <v>43021</v>
      </c>
      <c r="M295" s="80" t="s">
        <v>42</v>
      </c>
      <c r="N295" s="90" t="s">
        <v>550</v>
      </c>
      <c r="O295" s="91">
        <v>6000000</v>
      </c>
      <c r="P295" s="196">
        <f t="shared" si="8"/>
        <v>42000000</v>
      </c>
      <c r="Q295" s="50"/>
      <c r="U295" s="71" t="s">
        <v>574</v>
      </c>
    </row>
    <row r="296" spans="1:21" s="71" customFormat="1" ht="153" customHeight="1" x14ac:dyDescent="0.25">
      <c r="A296" s="207">
        <v>232</v>
      </c>
      <c r="B296" s="165" t="s">
        <v>486</v>
      </c>
      <c r="C296" s="74" t="s">
        <v>487</v>
      </c>
      <c r="D296" s="208" t="s">
        <v>501</v>
      </c>
      <c r="E296" s="209">
        <f>1800000*24</f>
        <v>43200000</v>
      </c>
      <c r="F296" s="89" t="s">
        <v>510</v>
      </c>
      <c r="G296" s="147" t="s">
        <v>511</v>
      </c>
      <c r="H296" s="73" t="s">
        <v>60</v>
      </c>
      <c r="I296" s="73" t="s">
        <v>133</v>
      </c>
      <c r="J296" s="89">
        <v>24</v>
      </c>
      <c r="K296" s="78">
        <v>43007</v>
      </c>
      <c r="L296" s="79">
        <v>43070</v>
      </c>
      <c r="M296" s="80" t="s">
        <v>42</v>
      </c>
      <c r="N296" s="150"/>
      <c r="O296" s="107"/>
      <c r="P296" s="196">
        <f t="shared" si="8"/>
        <v>43200000</v>
      </c>
      <c r="Q296" s="50"/>
      <c r="U296" s="71" t="s">
        <v>370</v>
      </c>
    </row>
    <row r="297" spans="1:21" s="71" customFormat="1" ht="140.25" customHeight="1" x14ac:dyDescent="0.25">
      <c r="A297" s="207">
        <v>233</v>
      </c>
      <c r="B297" s="165" t="s">
        <v>486</v>
      </c>
      <c r="C297" s="74" t="s">
        <v>487</v>
      </c>
      <c r="D297" s="208" t="s">
        <v>502</v>
      </c>
      <c r="E297" s="209">
        <v>60000000</v>
      </c>
      <c r="F297" s="89" t="s">
        <v>510</v>
      </c>
      <c r="G297" s="147" t="s">
        <v>511</v>
      </c>
      <c r="H297" s="73" t="s">
        <v>109</v>
      </c>
      <c r="I297" s="73" t="s">
        <v>308</v>
      </c>
      <c r="J297" s="89">
        <v>24</v>
      </c>
      <c r="K297" s="78">
        <v>43004</v>
      </c>
      <c r="L297" s="79">
        <v>43080</v>
      </c>
      <c r="M297" s="80" t="s">
        <v>42</v>
      </c>
      <c r="N297" s="150"/>
      <c r="O297" s="107"/>
      <c r="P297" s="196">
        <f t="shared" si="8"/>
        <v>60000000</v>
      </c>
      <c r="Q297" s="50"/>
      <c r="U297" s="71" t="s">
        <v>370</v>
      </c>
    </row>
    <row r="298" spans="1:21" s="71" customFormat="1" ht="141.75" customHeight="1" x14ac:dyDescent="0.25">
      <c r="A298" s="207">
        <v>234</v>
      </c>
      <c r="B298" s="165" t="s">
        <v>486</v>
      </c>
      <c r="C298" s="74" t="s">
        <v>487</v>
      </c>
      <c r="D298" s="208" t="s">
        <v>503</v>
      </c>
      <c r="E298" s="209">
        <v>120000000</v>
      </c>
      <c r="F298" s="89" t="s">
        <v>510</v>
      </c>
      <c r="G298" s="147" t="s">
        <v>511</v>
      </c>
      <c r="H298" s="73" t="s">
        <v>60</v>
      </c>
      <c r="I298" s="73" t="s">
        <v>514</v>
      </c>
      <c r="J298" s="89">
        <v>24</v>
      </c>
      <c r="K298" s="78">
        <v>43004</v>
      </c>
      <c r="L298" s="79">
        <v>43040</v>
      </c>
      <c r="M298" s="80" t="s">
        <v>42</v>
      </c>
      <c r="N298" s="150"/>
      <c r="O298" s="107"/>
      <c r="P298" s="196">
        <f t="shared" si="8"/>
        <v>120000000</v>
      </c>
      <c r="Q298" s="50"/>
      <c r="U298" s="71" t="s">
        <v>370</v>
      </c>
    </row>
    <row r="299" spans="1:21" s="71" customFormat="1" ht="129" customHeight="1" x14ac:dyDescent="0.25">
      <c r="A299" s="207">
        <v>235</v>
      </c>
      <c r="B299" s="165" t="s">
        <v>486</v>
      </c>
      <c r="C299" s="74" t="s">
        <v>487</v>
      </c>
      <c r="D299" s="208" t="s">
        <v>504</v>
      </c>
      <c r="E299" s="209">
        <f>38400000</f>
        <v>38400000</v>
      </c>
      <c r="F299" s="89" t="s">
        <v>510</v>
      </c>
      <c r="G299" s="147" t="s">
        <v>511</v>
      </c>
      <c r="H299" s="73" t="s">
        <v>73</v>
      </c>
      <c r="I299" s="73" t="s">
        <v>308</v>
      </c>
      <c r="J299" s="89">
        <v>24</v>
      </c>
      <c r="K299" s="78">
        <v>43004</v>
      </c>
      <c r="L299" s="79">
        <v>43012</v>
      </c>
      <c r="M299" s="80" t="s">
        <v>42</v>
      </c>
      <c r="N299" s="150"/>
      <c r="O299" s="107"/>
      <c r="P299" s="196">
        <f t="shared" si="8"/>
        <v>38400000</v>
      </c>
      <c r="Q299" s="50"/>
      <c r="U299" s="71" t="s">
        <v>370</v>
      </c>
    </row>
    <row r="300" spans="1:21" s="71" customFormat="1" ht="147.75" customHeight="1" x14ac:dyDescent="0.25">
      <c r="A300" s="207">
        <v>236</v>
      </c>
      <c r="B300" s="165" t="s">
        <v>486</v>
      </c>
      <c r="C300" s="74" t="s">
        <v>487</v>
      </c>
      <c r="D300" s="208" t="s">
        <v>86</v>
      </c>
      <c r="E300" s="209">
        <f>2100000*24-15485400</f>
        <v>34914600</v>
      </c>
      <c r="F300" s="89" t="s">
        <v>510</v>
      </c>
      <c r="G300" s="147" t="s">
        <v>511</v>
      </c>
      <c r="H300" s="73" t="s">
        <v>60</v>
      </c>
      <c r="I300" s="73" t="s">
        <v>308</v>
      </c>
      <c r="J300" s="89">
        <v>24</v>
      </c>
      <c r="K300" s="78">
        <v>43004</v>
      </c>
      <c r="L300" s="79">
        <v>43055</v>
      </c>
      <c r="M300" s="80" t="s">
        <v>42</v>
      </c>
      <c r="N300" s="150"/>
      <c r="O300" s="107"/>
      <c r="P300" s="196">
        <f t="shared" si="8"/>
        <v>34914600</v>
      </c>
      <c r="Q300" s="50"/>
      <c r="U300" s="71" t="s">
        <v>370</v>
      </c>
    </row>
    <row r="301" spans="1:21" s="71" customFormat="1" ht="114" x14ac:dyDescent="0.25">
      <c r="A301" s="207">
        <v>237</v>
      </c>
      <c r="B301" s="165" t="s">
        <v>486</v>
      </c>
      <c r="C301" s="74" t="s">
        <v>487</v>
      </c>
      <c r="D301" s="208" t="s">
        <v>505</v>
      </c>
      <c r="E301" s="209">
        <f>125000000-25000000-13377520</f>
        <v>86622480</v>
      </c>
      <c r="F301" s="89" t="s">
        <v>510</v>
      </c>
      <c r="G301" s="147" t="s">
        <v>511</v>
      </c>
      <c r="H301" s="73" t="s">
        <v>512</v>
      </c>
      <c r="I301" s="73" t="s">
        <v>514</v>
      </c>
      <c r="J301" s="89">
        <v>24</v>
      </c>
      <c r="K301" s="78">
        <v>43010</v>
      </c>
      <c r="L301" s="79">
        <v>43054</v>
      </c>
      <c r="M301" s="80" t="s">
        <v>42</v>
      </c>
      <c r="N301" s="150"/>
      <c r="O301" s="107"/>
      <c r="P301" s="196">
        <f t="shared" si="8"/>
        <v>86622480</v>
      </c>
      <c r="Q301" s="50"/>
      <c r="U301" s="71" t="s">
        <v>374</v>
      </c>
    </row>
    <row r="302" spans="1:21" s="71" customFormat="1" ht="115.5" customHeight="1" x14ac:dyDescent="0.25">
      <c r="A302" s="207">
        <v>238</v>
      </c>
      <c r="B302" s="165" t="s">
        <v>486</v>
      </c>
      <c r="C302" s="74" t="s">
        <v>487</v>
      </c>
      <c r="D302" s="208" t="s">
        <v>506</v>
      </c>
      <c r="E302" s="209">
        <f>31000000-11000000</f>
        <v>20000000</v>
      </c>
      <c r="F302" s="89" t="s">
        <v>510</v>
      </c>
      <c r="G302" s="147" t="s">
        <v>511</v>
      </c>
      <c r="H302" s="73" t="s">
        <v>513</v>
      </c>
      <c r="I302" s="73" t="s">
        <v>515</v>
      </c>
      <c r="J302" s="89">
        <v>24</v>
      </c>
      <c r="K302" s="78">
        <v>43010</v>
      </c>
      <c r="L302" s="79">
        <v>43023</v>
      </c>
      <c r="M302" s="80" t="s">
        <v>42</v>
      </c>
      <c r="N302" s="150"/>
      <c r="O302" s="107"/>
      <c r="P302" s="196">
        <f t="shared" si="8"/>
        <v>20000000</v>
      </c>
      <c r="Q302" s="50"/>
      <c r="U302" s="71" t="s">
        <v>370</v>
      </c>
    </row>
    <row r="303" spans="1:21" s="71" customFormat="1" ht="119.25" customHeight="1" x14ac:dyDescent="0.25">
      <c r="A303" s="207">
        <v>239</v>
      </c>
      <c r="B303" s="165" t="s">
        <v>486</v>
      </c>
      <c r="C303" s="74" t="s">
        <v>487</v>
      </c>
      <c r="D303" s="208" t="s">
        <v>507</v>
      </c>
      <c r="E303" s="209">
        <v>28000000</v>
      </c>
      <c r="F303" s="89" t="s">
        <v>510</v>
      </c>
      <c r="G303" s="147" t="s">
        <v>511</v>
      </c>
      <c r="H303" s="73" t="s">
        <v>109</v>
      </c>
      <c r="I303" s="73" t="s">
        <v>308</v>
      </c>
      <c r="J303" s="89">
        <v>24</v>
      </c>
      <c r="K303" s="78">
        <v>43010</v>
      </c>
      <c r="L303" s="79">
        <v>43023</v>
      </c>
      <c r="M303" s="80" t="s">
        <v>42</v>
      </c>
      <c r="N303" s="150"/>
      <c r="O303" s="107"/>
      <c r="P303" s="196">
        <f t="shared" si="8"/>
        <v>28000000</v>
      </c>
      <c r="Q303" s="50"/>
      <c r="U303" s="71" t="s">
        <v>370</v>
      </c>
    </row>
    <row r="304" spans="1:21" s="71" customFormat="1" ht="115.5" customHeight="1" x14ac:dyDescent="0.25">
      <c r="A304" s="207">
        <v>240</v>
      </c>
      <c r="B304" s="165" t="s">
        <v>486</v>
      </c>
      <c r="C304" s="74" t="s">
        <v>487</v>
      </c>
      <c r="D304" s="208" t="s">
        <v>79</v>
      </c>
      <c r="E304" s="209">
        <f>2200000*24</f>
        <v>52800000</v>
      </c>
      <c r="F304" s="89" t="s">
        <v>510</v>
      </c>
      <c r="G304" s="147" t="s">
        <v>511</v>
      </c>
      <c r="H304" s="73" t="s">
        <v>109</v>
      </c>
      <c r="I304" s="73" t="s">
        <v>515</v>
      </c>
      <c r="J304" s="89">
        <v>24</v>
      </c>
      <c r="K304" s="78">
        <v>43010</v>
      </c>
      <c r="L304" s="79">
        <v>43023</v>
      </c>
      <c r="M304" s="80" t="s">
        <v>42</v>
      </c>
      <c r="N304" s="150"/>
      <c r="O304" s="107"/>
      <c r="P304" s="196">
        <f t="shared" si="8"/>
        <v>52800000</v>
      </c>
      <c r="Q304" s="50"/>
      <c r="U304" s="71" t="s">
        <v>370</v>
      </c>
    </row>
    <row r="305" spans="1:21" s="71" customFormat="1" ht="129" customHeight="1" x14ac:dyDescent="0.25">
      <c r="A305" s="207">
        <v>241</v>
      </c>
      <c r="B305" s="165" t="s">
        <v>486</v>
      </c>
      <c r="C305" s="74" t="s">
        <v>487</v>
      </c>
      <c r="D305" s="208" t="s">
        <v>508</v>
      </c>
      <c r="E305" s="209">
        <f>350006986+25000000</f>
        <v>375006986</v>
      </c>
      <c r="F305" s="89" t="s">
        <v>510</v>
      </c>
      <c r="G305" s="147" t="s">
        <v>511</v>
      </c>
      <c r="H305" s="73" t="s">
        <v>73</v>
      </c>
      <c r="I305" s="73" t="s">
        <v>73</v>
      </c>
      <c r="J305" s="89">
        <v>24</v>
      </c>
      <c r="K305" s="78">
        <v>43004</v>
      </c>
      <c r="L305" s="79">
        <v>43012</v>
      </c>
      <c r="M305" s="80" t="s">
        <v>42</v>
      </c>
      <c r="N305" s="150"/>
      <c r="O305" s="107"/>
      <c r="P305" s="196">
        <f t="shared" si="8"/>
        <v>375006986</v>
      </c>
      <c r="Q305" s="50"/>
      <c r="U305" s="71" t="s">
        <v>370</v>
      </c>
    </row>
    <row r="306" spans="1:21" s="71" customFormat="1" ht="125.25" customHeight="1" x14ac:dyDescent="0.25">
      <c r="A306" s="153">
        <v>242</v>
      </c>
      <c r="B306" s="184" t="s">
        <v>486</v>
      </c>
      <c r="C306" s="94" t="s">
        <v>487</v>
      </c>
      <c r="D306" s="243" t="s">
        <v>509</v>
      </c>
      <c r="E306" s="424">
        <v>265190000</v>
      </c>
      <c r="F306" s="98" t="s">
        <v>510</v>
      </c>
      <c r="G306" s="425" t="s">
        <v>511</v>
      </c>
      <c r="H306" s="93" t="s">
        <v>108</v>
      </c>
      <c r="I306" s="93" t="s">
        <v>514</v>
      </c>
      <c r="J306" s="98">
        <v>24</v>
      </c>
      <c r="K306" s="99">
        <v>43006</v>
      </c>
      <c r="L306" s="100">
        <v>43054</v>
      </c>
      <c r="M306" s="101" t="s">
        <v>42</v>
      </c>
      <c r="N306" s="204"/>
      <c r="O306" s="205"/>
      <c r="P306" s="426">
        <f t="shared" si="8"/>
        <v>265190000</v>
      </c>
      <c r="Q306" s="50"/>
      <c r="U306" s="71" t="s">
        <v>370</v>
      </c>
    </row>
    <row r="307" spans="1:21" s="71" customFormat="1" ht="125.25" customHeight="1" thickBot="1" x14ac:dyDescent="0.3">
      <c r="A307" s="231">
        <v>255</v>
      </c>
      <c r="B307" s="458" t="s">
        <v>486</v>
      </c>
      <c r="C307" s="111" t="s">
        <v>487</v>
      </c>
      <c r="D307" s="232" t="s">
        <v>677</v>
      </c>
      <c r="E307" s="459">
        <v>60000000</v>
      </c>
      <c r="F307" s="137" t="s">
        <v>510</v>
      </c>
      <c r="G307" s="460" t="s">
        <v>511</v>
      </c>
      <c r="H307" s="110" t="s">
        <v>513</v>
      </c>
      <c r="I307" s="110" t="s">
        <v>515</v>
      </c>
      <c r="J307" s="137">
        <v>1</v>
      </c>
      <c r="K307" s="114">
        <v>43059</v>
      </c>
      <c r="L307" s="115">
        <v>43074</v>
      </c>
      <c r="M307" s="116" t="s">
        <v>42</v>
      </c>
      <c r="N307" s="233"/>
      <c r="O307" s="234"/>
      <c r="P307" s="235"/>
      <c r="Q307" s="50"/>
      <c r="U307" s="71" t="s">
        <v>370</v>
      </c>
    </row>
    <row r="308" spans="1:21" s="71" customFormat="1" ht="33" customHeight="1" thickTop="1" x14ac:dyDescent="0.25">
      <c r="A308" s="45"/>
      <c r="B308" s="45"/>
      <c r="C308" s="236"/>
      <c r="D308" s="43"/>
      <c r="E308" s="237"/>
      <c r="F308" s="45"/>
      <c r="G308" s="46"/>
      <c r="H308" s="47"/>
      <c r="I308" s="47"/>
      <c r="J308" s="45"/>
      <c r="K308" s="48"/>
      <c r="L308" s="49"/>
      <c r="M308" s="49"/>
      <c r="N308" s="238">
        <f>+P308/O308</f>
        <v>4.7743327309731338</v>
      </c>
      <c r="O308" s="239">
        <f>SUBTOTAL(9,O10:O306)</f>
        <v>6567798367</v>
      </c>
      <c r="P308" s="239">
        <f>SUBTOTAL(9,P10:P306)</f>
        <v>31356854714</v>
      </c>
    </row>
    <row r="309" spans="1:21" s="71" customFormat="1" ht="409.5" customHeight="1" x14ac:dyDescent="0.5">
      <c r="A309" s="489" t="s">
        <v>709</v>
      </c>
      <c r="B309" s="490"/>
      <c r="C309" s="490"/>
      <c r="D309" s="490"/>
      <c r="E309" s="490"/>
      <c r="F309" s="490"/>
      <c r="G309" s="490"/>
      <c r="H309" s="490"/>
      <c r="I309" s="490"/>
      <c r="J309" s="490"/>
      <c r="K309" s="490"/>
      <c r="L309" s="490"/>
      <c r="M309" s="490"/>
      <c r="N309" s="490"/>
      <c r="O309" s="490"/>
      <c r="P309" s="490"/>
    </row>
    <row r="310" spans="1:21" s="71" customFormat="1" x14ac:dyDescent="0.25">
      <c r="A310" s="45"/>
      <c r="B310" s="45"/>
      <c r="C310" s="236"/>
      <c r="D310" s="43"/>
      <c r="E310" s="237"/>
      <c r="F310" s="240"/>
      <c r="G310" s="46"/>
      <c r="H310" s="47"/>
      <c r="I310" s="47"/>
      <c r="J310" s="45"/>
      <c r="K310" s="48"/>
      <c r="L310" s="49"/>
      <c r="M310" s="49"/>
      <c r="N310" s="47"/>
      <c r="O310" s="50"/>
      <c r="P310" s="50"/>
      <c r="Q310" s="241"/>
      <c r="U310" s="71" t="s">
        <v>574</v>
      </c>
    </row>
    <row r="311" spans="1:21" s="71" customFormat="1" x14ac:dyDescent="0.25">
      <c r="A311" s="45"/>
      <c r="B311" s="45"/>
      <c r="C311" s="236"/>
      <c r="D311" s="242"/>
      <c r="E311" s="237"/>
      <c r="F311" s="240"/>
      <c r="G311" s="46"/>
      <c r="H311" s="47"/>
      <c r="I311" s="47"/>
      <c r="J311" s="45"/>
      <c r="K311" s="48"/>
      <c r="L311" s="49"/>
      <c r="M311" s="49"/>
      <c r="N311" s="47"/>
      <c r="O311" s="50"/>
      <c r="P311" s="50"/>
      <c r="Q311" s="241"/>
    </row>
    <row r="312" spans="1:21" s="71" customFormat="1" x14ac:dyDescent="0.25">
      <c r="A312" s="45"/>
      <c r="B312" s="45"/>
      <c r="C312" s="236"/>
      <c r="D312" s="43"/>
      <c r="E312" s="237"/>
      <c r="F312" s="240"/>
      <c r="G312" s="46"/>
      <c r="H312" s="47"/>
      <c r="I312" s="47"/>
      <c r="J312" s="45"/>
      <c r="K312" s="48"/>
      <c r="L312" s="49"/>
      <c r="M312" s="49"/>
      <c r="N312" s="47"/>
      <c r="O312" s="279"/>
      <c r="P312" s="50"/>
      <c r="Q312" s="241"/>
    </row>
    <row r="313" spans="1:21" s="71" customFormat="1" x14ac:dyDescent="0.25">
      <c r="A313" s="45"/>
      <c r="B313" s="45"/>
      <c r="C313" s="236"/>
      <c r="D313" s="43"/>
      <c r="E313" s="237"/>
      <c r="F313" s="45"/>
      <c r="G313" s="46"/>
      <c r="H313" s="47"/>
      <c r="I313" s="47"/>
      <c r="J313" s="45"/>
      <c r="K313" s="48"/>
      <c r="L313" s="49"/>
      <c r="M313" s="49"/>
      <c r="N313" s="47"/>
      <c r="O313" s="279"/>
      <c r="P313" s="50"/>
      <c r="Q313" s="241"/>
    </row>
    <row r="314" spans="1:21" s="71" customFormat="1" x14ac:dyDescent="0.25">
      <c r="A314" s="45"/>
      <c r="B314" s="45"/>
      <c r="C314" s="236"/>
      <c r="D314" s="43"/>
      <c r="E314" s="237"/>
      <c r="F314" s="45"/>
      <c r="G314" s="46"/>
      <c r="H314" s="47"/>
      <c r="I314" s="47"/>
      <c r="J314" s="45"/>
      <c r="K314" s="48"/>
      <c r="L314" s="49"/>
      <c r="M314" s="49"/>
      <c r="N314" s="47"/>
      <c r="O314" s="50"/>
      <c r="P314" s="50"/>
      <c r="Q314" s="241"/>
    </row>
    <row r="315" spans="1:21" s="71" customFormat="1" x14ac:dyDescent="0.25">
      <c r="A315" s="45"/>
      <c r="B315" s="45"/>
      <c r="C315" s="236"/>
      <c r="D315" s="43"/>
      <c r="E315" s="237"/>
      <c r="F315" s="45"/>
      <c r="G315" s="46"/>
      <c r="H315" s="47"/>
      <c r="I315" s="47"/>
      <c r="J315" s="45"/>
      <c r="K315" s="48"/>
      <c r="L315" s="49"/>
      <c r="M315" s="49"/>
      <c r="N315" s="47"/>
      <c r="O315" s="50"/>
      <c r="P315" s="50"/>
      <c r="Q315" s="241"/>
    </row>
    <row r="316" spans="1:21" s="71" customFormat="1" x14ac:dyDescent="0.25">
      <c r="A316" s="45"/>
      <c r="B316" s="45"/>
      <c r="C316" s="236"/>
      <c r="D316" s="43"/>
      <c r="E316" s="237"/>
      <c r="F316" s="240"/>
      <c r="G316" s="46"/>
      <c r="H316" s="47"/>
      <c r="I316" s="47"/>
      <c r="J316" s="45"/>
      <c r="K316" s="48"/>
      <c r="L316" s="49"/>
      <c r="M316" s="49"/>
      <c r="N316" s="47"/>
      <c r="O316" s="50"/>
      <c r="P316" s="50"/>
      <c r="Q316" s="241"/>
    </row>
    <row r="317" spans="1:21" s="71" customFormat="1" x14ac:dyDescent="0.25">
      <c r="A317" s="45"/>
      <c r="B317" s="45"/>
      <c r="C317" s="236"/>
      <c r="D317" s="43"/>
      <c r="E317" s="237"/>
      <c r="F317" s="45"/>
      <c r="G317" s="46"/>
      <c r="H317" s="47"/>
      <c r="I317" s="47"/>
      <c r="J317" s="45"/>
      <c r="K317" s="48"/>
      <c r="L317" s="49"/>
      <c r="M317" s="49"/>
      <c r="N317" s="47"/>
      <c r="O317" s="50"/>
      <c r="P317" s="50"/>
      <c r="Q317" s="241"/>
    </row>
    <row r="318" spans="1:21" s="71" customFormat="1" x14ac:dyDescent="0.25">
      <c r="A318" s="45"/>
      <c r="B318" s="45"/>
      <c r="C318" s="236"/>
      <c r="D318" s="43"/>
      <c r="E318" s="237"/>
      <c r="F318" s="45"/>
      <c r="G318" s="46"/>
      <c r="H318" s="47"/>
      <c r="I318" s="47"/>
      <c r="J318" s="45"/>
      <c r="K318" s="48"/>
      <c r="L318" s="49"/>
      <c r="M318" s="49"/>
      <c r="N318" s="47"/>
      <c r="O318" s="50"/>
      <c r="P318" s="50"/>
      <c r="Q318" s="241"/>
    </row>
    <row r="319" spans="1:21" s="71" customFormat="1" x14ac:dyDescent="0.25">
      <c r="A319" s="45"/>
      <c r="B319" s="45"/>
      <c r="C319" s="236"/>
      <c r="D319" s="43"/>
      <c r="E319" s="237"/>
      <c r="F319" s="45"/>
      <c r="G319" s="46"/>
      <c r="H319" s="47"/>
      <c r="I319" s="47"/>
      <c r="J319" s="45"/>
      <c r="K319" s="48"/>
      <c r="L319" s="49"/>
      <c r="M319" s="49"/>
      <c r="N319" s="47"/>
      <c r="O319" s="50"/>
      <c r="P319" s="50"/>
      <c r="Q319" s="241"/>
    </row>
    <row r="320" spans="1:21" s="71" customFormat="1" x14ac:dyDescent="0.25">
      <c r="A320" s="45"/>
      <c r="B320" s="45"/>
      <c r="C320" s="236"/>
      <c r="D320" s="43"/>
      <c r="E320" s="237"/>
      <c r="F320" s="45"/>
      <c r="G320" s="46"/>
      <c r="H320" s="47"/>
      <c r="I320" s="47"/>
      <c r="J320" s="45"/>
      <c r="K320" s="48"/>
      <c r="L320" s="49"/>
      <c r="M320" s="49"/>
      <c r="N320" s="47"/>
      <c r="O320" s="50"/>
      <c r="P320" s="50"/>
      <c r="Q320" s="241"/>
    </row>
    <row r="321" spans="1:17" s="71" customFormat="1" x14ac:dyDescent="0.25">
      <c r="A321" s="45"/>
      <c r="B321" s="45"/>
      <c r="C321" s="236"/>
      <c r="D321" s="43"/>
      <c r="E321" s="237"/>
      <c r="F321" s="45"/>
      <c r="G321" s="46"/>
      <c r="H321" s="47"/>
      <c r="I321" s="47"/>
      <c r="J321" s="45"/>
      <c r="K321" s="48"/>
      <c r="L321" s="49"/>
      <c r="M321" s="49"/>
      <c r="N321" s="47"/>
      <c r="O321" s="50"/>
      <c r="P321" s="50"/>
      <c r="Q321" s="241"/>
    </row>
    <row r="322" spans="1:17" s="71" customFormat="1" x14ac:dyDescent="0.25">
      <c r="A322" s="45"/>
      <c r="B322" s="45"/>
      <c r="C322" s="236"/>
      <c r="D322" s="43"/>
      <c r="E322" s="237"/>
      <c r="F322" s="45"/>
      <c r="G322" s="46"/>
      <c r="H322" s="47"/>
      <c r="I322" s="47"/>
      <c r="J322" s="45"/>
      <c r="K322" s="48"/>
      <c r="L322" s="49"/>
      <c r="M322" s="49"/>
      <c r="N322" s="47"/>
      <c r="O322" s="50"/>
      <c r="P322" s="50"/>
      <c r="Q322" s="241"/>
    </row>
    <row r="323" spans="1:17" s="71" customFormat="1" x14ac:dyDescent="0.25">
      <c r="A323" s="45"/>
      <c r="B323" s="45"/>
      <c r="C323" s="236"/>
      <c r="D323" s="43"/>
      <c r="E323" s="237"/>
      <c r="F323" s="45"/>
      <c r="G323" s="46"/>
      <c r="H323" s="47"/>
      <c r="I323" s="47"/>
      <c r="J323" s="45"/>
      <c r="K323" s="48"/>
      <c r="L323" s="49"/>
      <c r="M323" s="49"/>
      <c r="N323" s="47"/>
      <c r="O323" s="50"/>
      <c r="P323" s="50"/>
      <c r="Q323" s="241"/>
    </row>
    <row r="324" spans="1:17" s="71" customFormat="1" x14ac:dyDescent="0.25">
      <c r="A324" s="45"/>
      <c r="B324" s="45"/>
      <c r="C324" s="236"/>
      <c r="D324" s="43"/>
      <c r="E324" s="237"/>
      <c r="F324" s="45"/>
      <c r="G324" s="46"/>
      <c r="H324" s="47"/>
      <c r="I324" s="47"/>
      <c r="J324" s="45"/>
      <c r="K324" s="48"/>
      <c r="L324" s="49"/>
      <c r="M324" s="49"/>
      <c r="N324" s="47"/>
      <c r="O324" s="50"/>
      <c r="P324" s="50"/>
      <c r="Q324" s="241"/>
    </row>
    <row r="325" spans="1:17" s="71" customFormat="1" x14ac:dyDescent="0.25">
      <c r="A325" s="45"/>
      <c r="B325" s="45"/>
      <c r="C325" s="236"/>
      <c r="D325" s="43"/>
      <c r="E325" s="237"/>
      <c r="F325" s="45"/>
      <c r="G325" s="46"/>
      <c r="H325" s="47"/>
      <c r="I325" s="47"/>
      <c r="J325" s="45"/>
      <c r="K325" s="48"/>
      <c r="L325" s="49"/>
      <c r="M325" s="49"/>
      <c r="N325" s="47"/>
      <c r="O325" s="50"/>
      <c r="P325" s="50"/>
      <c r="Q325" s="241"/>
    </row>
    <row r="326" spans="1:17" s="71" customFormat="1" x14ac:dyDescent="0.25">
      <c r="A326" s="45"/>
      <c r="B326" s="45"/>
      <c r="C326" s="236"/>
      <c r="D326" s="43"/>
      <c r="E326" s="237"/>
      <c r="F326" s="45"/>
      <c r="G326" s="46"/>
      <c r="H326" s="47"/>
      <c r="I326" s="47"/>
      <c r="J326" s="45"/>
      <c r="K326" s="48"/>
      <c r="L326" s="49"/>
      <c r="M326" s="49"/>
      <c r="N326" s="47"/>
      <c r="O326" s="50"/>
      <c r="P326" s="50"/>
      <c r="Q326" s="241"/>
    </row>
    <row r="327" spans="1:17" s="71" customFormat="1" x14ac:dyDescent="0.25">
      <c r="A327" s="45"/>
      <c r="B327" s="45"/>
      <c r="C327" s="236"/>
      <c r="D327" s="43"/>
      <c r="E327" s="237"/>
      <c r="F327" s="45"/>
      <c r="G327" s="46"/>
      <c r="H327" s="47"/>
      <c r="I327" s="47"/>
      <c r="J327" s="45"/>
      <c r="K327" s="48"/>
      <c r="L327" s="49"/>
      <c r="M327" s="49"/>
      <c r="N327" s="47"/>
      <c r="O327" s="50"/>
      <c r="P327" s="50"/>
      <c r="Q327" s="241"/>
    </row>
    <row r="328" spans="1:17" s="71" customFormat="1" x14ac:dyDescent="0.25">
      <c r="A328" s="45"/>
      <c r="B328" s="45"/>
      <c r="C328" s="236"/>
      <c r="D328" s="43"/>
      <c r="E328" s="237"/>
      <c r="F328" s="45"/>
      <c r="G328" s="46"/>
      <c r="H328" s="47"/>
      <c r="I328" s="47"/>
      <c r="J328" s="45"/>
      <c r="K328" s="48"/>
      <c r="L328" s="49"/>
      <c r="M328" s="49"/>
      <c r="N328" s="47"/>
      <c r="O328" s="50"/>
      <c r="P328" s="50"/>
      <c r="Q328" s="241"/>
    </row>
    <row r="329" spans="1:17" s="71" customFormat="1" x14ac:dyDescent="0.25">
      <c r="A329" s="45"/>
      <c r="B329" s="45"/>
      <c r="C329" s="236"/>
      <c r="D329" s="43"/>
      <c r="E329" s="237"/>
      <c r="F329" s="45"/>
      <c r="G329" s="46"/>
      <c r="H329" s="47"/>
      <c r="I329" s="47"/>
      <c r="J329" s="45"/>
      <c r="K329" s="48"/>
      <c r="L329" s="49"/>
      <c r="M329" s="49"/>
      <c r="N329" s="47"/>
      <c r="O329" s="50"/>
      <c r="P329" s="50"/>
      <c r="Q329" s="241"/>
    </row>
    <row r="330" spans="1:17" s="71" customFormat="1" x14ac:dyDescent="0.25">
      <c r="A330" s="45"/>
      <c r="B330" s="45"/>
      <c r="C330" s="236"/>
      <c r="D330" s="43"/>
      <c r="E330" s="237"/>
      <c r="F330" s="45"/>
      <c r="G330" s="46"/>
      <c r="H330" s="47"/>
      <c r="I330" s="47"/>
      <c r="J330" s="45"/>
      <c r="K330" s="48"/>
      <c r="L330" s="49"/>
      <c r="M330" s="49"/>
      <c r="N330" s="47"/>
      <c r="O330" s="50"/>
      <c r="P330" s="50"/>
      <c r="Q330" s="241"/>
    </row>
    <row r="331" spans="1:17" s="71" customFormat="1" x14ac:dyDescent="0.25">
      <c r="A331" s="45"/>
      <c r="B331" s="45"/>
      <c r="C331" s="236"/>
      <c r="D331" s="43"/>
      <c r="E331" s="237"/>
      <c r="F331" s="45"/>
      <c r="G331" s="46"/>
      <c r="H331" s="47"/>
      <c r="I331" s="47"/>
      <c r="J331" s="45"/>
      <c r="K331" s="48"/>
      <c r="L331" s="49"/>
      <c r="M331" s="49"/>
      <c r="N331" s="47"/>
      <c r="O331" s="50"/>
      <c r="P331" s="50"/>
      <c r="Q331" s="241"/>
    </row>
    <row r="332" spans="1:17" s="71" customFormat="1" x14ac:dyDescent="0.25">
      <c r="A332" s="45"/>
      <c r="B332" s="45"/>
      <c r="C332" s="236"/>
      <c r="D332" s="43"/>
      <c r="E332" s="237"/>
      <c r="F332" s="45"/>
      <c r="G332" s="46"/>
      <c r="H332" s="47"/>
      <c r="I332" s="47"/>
      <c r="J332" s="45"/>
      <c r="K332" s="48"/>
      <c r="L332" s="49"/>
      <c r="M332" s="49"/>
      <c r="N332" s="47"/>
      <c r="O332" s="50"/>
      <c r="P332" s="50"/>
      <c r="Q332" s="241"/>
    </row>
    <row r="333" spans="1:17" s="71" customFormat="1" x14ac:dyDescent="0.25">
      <c r="A333" s="45"/>
      <c r="B333" s="45"/>
      <c r="C333" s="236"/>
      <c r="D333" s="43"/>
      <c r="E333" s="237"/>
      <c r="F333" s="45"/>
      <c r="G333" s="46"/>
      <c r="H333" s="47"/>
      <c r="I333" s="47"/>
      <c r="J333" s="45"/>
      <c r="K333" s="48"/>
      <c r="L333" s="49"/>
      <c r="M333" s="49"/>
      <c r="N333" s="47"/>
      <c r="O333" s="50"/>
      <c r="P333" s="50"/>
      <c r="Q333" s="241"/>
    </row>
    <row r="334" spans="1:17" s="71" customFormat="1" x14ac:dyDescent="0.25">
      <c r="A334" s="45"/>
      <c r="B334" s="45"/>
      <c r="C334" s="236"/>
      <c r="D334" s="43"/>
      <c r="E334" s="237"/>
      <c r="F334" s="45"/>
      <c r="G334" s="46"/>
      <c r="H334" s="47"/>
      <c r="I334" s="47"/>
      <c r="J334" s="45"/>
      <c r="K334" s="48"/>
      <c r="L334" s="49"/>
      <c r="M334" s="49"/>
      <c r="N334" s="47"/>
      <c r="O334" s="50"/>
      <c r="P334" s="50"/>
      <c r="Q334" s="241"/>
    </row>
    <row r="335" spans="1:17" s="71" customFormat="1" x14ac:dyDescent="0.25">
      <c r="A335" s="45"/>
      <c r="B335" s="45"/>
      <c r="C335" s="236"/>
      <c r="D335" s="43"/>
      <c r="E335" s="237"/>
      <c r="F335" s="45"/>
      <c r="G335" s="46"/>
      <c r="H335" s="47"/>
      <c r="I335" s="47"/>
      <c r="J335" s="45"/>
      <c r="K335" s="48"/>
      <c r="L335" s="49"/>
      <c r="M335" s="49"/>
      <c r="N335" s="47"/>
      <c r="O335" s="50"/>
      <c r="P335" s="50"/>
      <c r="Q335" s="241"/>
    </row>
    <row r="336" spans="1:17" s="71" customFormat="1" x14ac:dyDescent="0.25">
      <c r="A336" s="45"/>
      <c r="B336" s="45"/>
      <c r="C336" s="236"/>
      <c r="D336" s="43"/>
      <c r="E336" s="237"/>
      <c r="F336" s="45"/>
      <c r="G336" s="46"/>
      <c r="H336" s="47"/>
      <c r="I336" s="47"/>
      <c r="J336" s="45"/>
      <c r="K336" s="48"/>
      <c r="L336" s="49"/>
      <c r="M336" s="49"/>
      <c r="N336" s="47"/>
      <c r="O336" s="50"/>
      <c r="P336" s="50"/>
      <c r="Q336" s="241"/>
    </row>
    <row r="337" spans="1:17" s="71" customFormat="1" x14ac:dyDescent="0.25">
      <c r="A337" s="45"/>
      <c r="B337" s="45"/>
      <c r="C337" s="236"/>
      <c r="D337" s="43"/>
      <c r="E337" s="237"/>
      <c r="F337" s="45"/>
      <c r="G337" s="46"/>
      <c r="H337" s="47"/>
      <c r="I337" s="47"/>
      <c r="J337" s="45"/>
      <c r="K337" s="48"/>
      <c r="L337" s="49"/>
      <c r="M337" s="49"/>
      <c r="N337" s="47"/>
      <c r="O337" s="50"/>
      <c r="P337" s="50"/>
      <c r="Q337" s="241"/>
    </row>
    <row r="338" spans="1:17" s="71" customFormat="1" x14ac:dyDescent="0.25">
      <c r="A338" s="45"/>
      <c r="B338" s="45"/>
      <c r="C338" s="236"/>
      <c r="D338" s="43"/>
      <c r="E338" s="237"/>
      <c r="F338" s="45"/>
      <c r="G338" s="46"/>
      <c r="H338" s="47"/>
      <c r="I338" s="47"/>
      <c r="J338" s="45"/>
      <c r="K338" s="48"/>
      <c r="L338" s="49"/>
      <c r="M338" s="49"/>
      <c r="N338" s="47"/>
      <c r="O338" s="50"/>
      <c r="P338" s="50"/>
      <c r="Q338" s="241"/>
    </row>
    <row r="339" spans="1:17" s="71" customFormat="1" x14ac:dyDescent="0.25">
      <c r="A339" s="45"/>
      <c r="B339" s="45"/>
      <c r="C339" s="236"/>
      <c r="D339" s="43"/>
      <c r="E339" s="237"/>
      <c r="F339" s="45"/>
      <c r="G339" s="46"/>
      <c r="H339" s="47"/>
      <c r="I339" s="47"/>
      <c r="J339" s="45"/>
      <c r="K339" s="48"/>
      <c r="L339" s="49"/>
      <c r="M339" s="49"/>
      <c r="N339" s="47"/>
      <c r="O339" s="50"/>
      <c r="P339" s="50"/>
      <c r="Q339" s="241"/>
    </row>
    <row r="340" spans="1:17" s="71" customFormat="1" x14ac:dyDescent="0.25">
      <c r="A340" s="45"/>
      <c r="B340" s="45"/>
      <c r="C340" s="236"/>
      <c r="D340" s="43"/>
      <c r="E340" s="237"/>
      <c r="F340" s="45"/>
      <c r="G340" s="46"/>
      <c r="H340" s="47"/>
      <c r="I340" s="47"/>
      <c r="J340" s="45"/>
      <c r="K340" s="48"/>
      <c r="L340" s="49"/>
      <c r="M340" s="49"/>
      <c r="N340" s="47"/>
      <c r="O340" s="50"/>
      <c r="P340" s="50"/>
      <c r="Q340" s="241"/>
    </row>
    <row r="341" spans="1:17" s="71" customFormat="1" x14ac:dyDescent="0.25">
      <c r="A341" s="45"/>
      <c r="B341" s="45"/>
      <c r="C341" s="236"/>
      <c r="D341" s="43"/>
      <c r="E341" s="237"/>
      <c r="F341" s="45"/>
      <c r="G341" s="46"/>
      <c r="H341" s="47"/>
      <c r="I341" s="47"/>
      <c r="J341" s="45"/>
      <c r="K341" s="48"/>
      <c r="L341" s="49"/>
      <c r="M341" s="49"/>
      <c r="N341" s="47"/>
      <c r="O341" s="50"/>
      <c r="P341" s="50"/>
      <c r="Q341" s="241"/>
    </row>
    <row r="342" spans="1:17" s="71" customFormat="1" x14ac:dyDescent="0.25">
      <c r="A342" s="45"/>
      <c r="B342" s="45"/>
      <c r="C342" s="236"/>
      <c r="D342" s="43"/>
      <c r="E342" s="237"/>
      <c r="F342" s="45"/>
      <c r="G342" s="46"/>
      <c r="H342" s="47"/>
      <c r="I342" s="47"/>
      <c r="J342" s="45"/>
      <c r="K342" s="48"/>
      <c r="L342" s="49"/>
      <c r="M342" s="49"/>
      <c r="N342" s="47"/>
      <c r="O342" s="50"/>
      <c r="P342" s="50"/>
      <c r="Q342" s="241"/>
    </row>
    <row r="343" spans="1:17" s="71" customFormat="1" x14ac:dyDescent="0.25">
      <c r="A343" s="45"/>
      <c r="B343" s="45"/>
      <c r="C343" s="236"/>
      <c r="D343" s="43"/>
      <c r="E343" s="237"/>
      <c r="F343" s="45"/>
      <c r="G343" s="46"/>
      <c r="H343" s="47"/>
      <c r="I343" s="47"/>
      <c r="J343" s="45"/>
      <c r="K343" s="48"/>
      <c r="L343" s="49"/>
      <c r="M343" s="49"/>
      <c r="N343" s="47"/>
      <c r="O343" s="50"/>
      <c r="P343" s="50"/>
      <c r="Q343" s="241"/>
    </row>
    <row r="344" spans="1:17" s="71" customFormat="1" x14ac:dyDescent="0.25">
      <c r="A344" s="45"/>
      <c r="B344" s="45"/>
      <c r="C344" s="236"/>
      <c r="D344" s="43"/>
      <c r="E344" s="237"/>
      <c r="F344" s="45"/>
      <c r="G344" s="46"/>
      <c r="H344" s="47"/>
      <c r="I344" s="47"/>
      <c r="J344" s="45"/>
      <c r="K344" s="48"/>
      <c r="L344" s="49"/>
      <c r="M344" s="49"/>
      <c r="N344" s="47"/>
      <c r="O344" s="50"/>
      <c r="P344" s="50"/>
      <c r="Q344" s="241"/>
    </row>
    <row r="345" spans="1:17" s="71" customFormat="1" x14ac:dyDescent="0.25">
      <c r="A345" s="45"/>
      <c r="B345" s="45"/>
      <c r="C345" s="236"/>
      <c r="D345" s="43"/>
      <c r="E345" s="237"/>
      <c r="F345" s="45"/>
      <c r="G345" s="46"/>
      <c r="H345" s="47"/>
      <c r="I345" s="47"/>
      <c r="J345" s="45"/>
      <c r="K345" s="48"/>
      <c r="L345" s="49"/>
      <c r="M345" s="49"/>
      <c r="N345" s="47"/>
      <c r="O345" s="50"/>
      <c r="P345" s="50"/>
      <c r="Q345" s="241"/>
    </row>
    <row r="346" spans="1:17" s="71" customFormat="1" x14ac:dyDescent="0.25">
      <c r="A346" s="45"/>
      <c r="B346" s="45"/>
      <c r="C346" s="236"/>
      <c r="D346" s="43"/>
      <c r="E346" s="237"/>
      <c r="F346" s="45"/>
      <c r="G346" s="46"/>
      <c r="H346" s="47"/>
      <c r="I346" s="47"/>
      <c r="J346" s="45"/>
      <c r="K346" s="48"/>
      <c r="L346" s="49"/>
      <c r="M346" s="49"/>
      <c r="N346" s="47"/>
      <c r="O346" s="50"/>
      <c r="P346" s="50"/>
      <c r="Q346" s="241"/>
    </row>
    <row r="347" spans="1:17" s="71" customFormat="1" x14ac:dyDescent="0.25">
      <c r="A347" s="45"/>
      <c r="B347" s="45"/>
      <c r="C347" s="236"/>
      <c r="D347" s="43"/>
      <c r="E347" s="237"/>
      <c r="F347" s="45"/>
      <c r="G347" s="46"/>
      <c r="H347" s="47"/>
      <c r="I347" s="47"/>
      <c r="J347" s="45"/>
      <c r="K347" s="48"/>
      <c r="L347" s="49"/>
      <c r="M347" s="49"/>
      <c r="N347" s="47"/>
      <c r="O347" s="50"/>
      <c r="P347" s="50"/>
      <c r="Q347" s="241"/>
    </row>
    <row r="348" spans="1:17" s="71" customFormat="1" x14ac:dyDescent="0.25">
      <c r="A348" s="45"/>
      <c r="B348" s="45"/>
      <c r="C348" s="236"/>
      <c r="D348" s="43"/>
      <c r="E348" s="237"/>
      <c r="F348" s="45"/>
      <c r="G348" s="46"/>
      <c r="H348" s="47"/>
      <c r="I348" s="47"/>
      <c r="J348" s="45"/>
      <c r="K348" s="48"/>
      <c r="L348" s="49"/>
      <c r="M348" s="49"/>
      <c r="N348" s="47"/>
      <c r="O348" s="50"/>
      <c r="P348" s="50"/>
      <c r="Q348" s="241"/>
    </row>
    <row r="349" spans="1:17" s="71" customFormat="1" x14ac:dyDescent="0.25">
      <c r="A349" s="45"/>
      <c r="B349" s="45"/>
      <c r="C349" s="236"/>
      <c r="D349" s="43"/>
      <c r="E349" s="237"/>
      <c r="F349" s="45"/>
      <c r="G349" s="46"/>
      <c r="H349" s="47"/>
      <c r="I349" s="47"/>
      <c r="J349" s="45"/>
      <c r="K349" s="48"/>
      <c r="L349" s="49"/>
      <c r="M349" s="49"/>
      <c r="N349" s="47"/>
      <c r="O349" s="50"/>
      <c r="P349" s="50"/>
      <c r="Q349" s="241"/>
    </row>
    <row r="350" spans="1:17" s="71" customFormat="1" x14ac:dyDescent="0.25">
      <c r="A350" s="45"/>
      <c r="B350" s="45"/>
      <c r="C350" s="236"/>
      <c r="D350" s="43"/>
      <c r="E350" s="237"/>
      <c r="F350" s="45"/>
      <c r="G350" s="46"/>
      <c r="H350" s="47"/>
      <c r="I350" s="47"/>
      <c r="J350" s="45"/>
      <c r="K350" s="48"/>
      <c r="L350" s="49"/>
      <c r="M350" s="49"/>
      <c r="N350" s="47"/>
      <c r="O350" s="50"/>
      <c r="P350" s="50"/>
      <c r="Q350" s="241"/>
    </row>
    <row r="351" spans="1:17" s="71" customFormat="1" x14ac:dyDescent="0.25">
      <c r="A351" s="45"/>
      <c r="B351" s="45"/>
      <c r="C351" s="236"/>
      <c r="D351" s="43"/>
      <c r="E351" s="237"/>
      <c r="F351" s="45"/>
      <c r="G351" s="46"/>
      <c r="H351" s="47"/>
      <c r="I351" s="47"/>
      <c r="J351" s="45"/>
      <c r="K351" s="48"/>
      <c r="L351" s="49"/>
      <c r="M351" s="49"/>
      <c r="N351" s="47"/>
      <c r="O351" s="50"/>
      <c r="P351" s="50"/>
      <c r="Q351" s="241"/>
    </row>
    <row r="352" spans="1:17" s="71" customFormat="1" x14ac:dyDescent="0.25">
      <c r="A352" s="45"/>
      <c r="B352" s="45"/>
      <c r="C352" s="236"/>
      <c r="D352" s="43"/>
      <c r="E352" s="237"/>
      <c r="F352" s="45"/>
      <c r="G352" s="46"/>
      <c r="H352" s="47"/>
      <c r="I352" s="47"/>
      <c r="J352" s="45"/>
      <c r="K352" s="48"/>
      <c r="L352" s="49"/>
      <c r="M352" s="49"/>
      <c r="N352" s="47"/>
      <c r="O352" s="50"/>
      <c r="P352" s="50"/>
      <c r="Q352" s="241"/>
    </row>
    <row r="353" spans="1:17" s="71" customFormat="1" x14ac:dyDescent="0.25">
      <c r="A353" s="45"/>
      <c r="B353" s="45"/>
      <c r="C353" s="236"/>
      <c r="D353" s="43"/>
      <c r="E353" s="237"/>
      <c r="F353" s="45"/>
      <c r="G353" s="46"/>
      <c r="H353" s="47"/>
      <c r="I353" s="47"/>
      <c r="J353" s="45"/>
      <c r="K353" s="48"/>
      <c r="L353" s="49"/>
      <c r="M353" s="49"/>
      <c r="N353" s="47"/>
      <c r="O353" s="50"/>
      <c r="P353" s="50"/>
      <c r="Q353" s="241"/>
    </row>
    <row r="354" spans="1:17" s="71" customFormat="1" x14ac:dyDescent="0.25">
      <c r="A354" s="45"/>
      <c r="B354" s="45"/>
      <c r="C354" s="236"/>
      <c r="D354" s="43"/>
      <c r="E354" s="237"/>
      <c r="F354" s="45"/>
      <c r="G354" s="46"/>
      <c r="H354" s="47"/>
      <c r="I354" s="47"/>
      <c r="J354" s="45"/>
      <c r="K354" s="48"/>
      <c r="L354" s="49"/>
      <c r="M354" s="49"/>
      <c r="N354" s="47"/>
      <c r="O354" s="50"/>
      <c r="P354" s="50"/>
      <c r="Q354" s="241"/>
    </row>
    <row r="355" spans="1:17" s="71" customFormat="1" x14ac:dyDescent="0.25">
      <c r="A355" s="45"/>
      <c r="B355" s="45"/>
      <c r="C355" s="236"/>
      <c r="D355" s="43"/>
      <c r="E355" s="237"/>
      <c r="F355" s="45"/>
      <c r="G355" s="46"/>
      <c r="H355" s="47"/>
      <c r="I355" s="47"/>
      <c r="J355" s="45"/>
      <c r="K355" s="48"/>
      <c r="L355" s="49"/>
      <c r="M355" s="49"/>
      <c r="N355" s="47"/>
      <c r="O355" s="50"/>
      <c r="P355" s="50"/>
      <c r="Q355" s="241"/>
    </row>
    <row r="356" spans="1:17" s="71" customFormat="1" x14ac:dyDescent="0.25">
      <c r="A356" s="45"/>
      <c r="B356" s="45"/>
      <c r="C356" s="236"/>
      <c r="D356" s="43"/>
      <c r="E356" s="237"/>
      <c r="F356" s="45"/>
      <c r="G356" s="46"/>
      <c r="H356" s="47"/>
      <c r="I356" s="47"/>
      <c r="J356" s="45"/>
      <c r="K356" s="48"/>
      <c r="L356" s="49"/>
      <c r="M356" s="49"/>
      <c r="N356" s="47"/>
      <c r="O356" s="50"/>
      <c r="P356" s="50"/>
      <c r="Q356" s="241"/>
    </row>
    <row r="357" spans="1:17" s="71" customFormat="1" x14ac:dyDescent="0.25">
      <c r="A357" s="45"/>
      <c r="B357" s="45"/>
      <c r="C357" s="236"/>
      <c r="D357" s="43"/>
      <c r="E357" s="237"/>
      <c r="F357" s="45"/>
      <c r="G357" s="46"/>
      <c r="H357" s="47"/>
      <c r="I357" s="47"/>
      <c r="J357" s="45"/>
      <c r="K357" s="48"/>
      <c r="L357" s="49"/>
      <c r="M357" s="49"/>
      <c r="N357" s="47"/>
      <c r="O357" s="50"/>
      <c r="P357" s="50"/>
      <c r="Q357" s="241"/>
    </row>
    <row r="358" spans="1:17" s="71" customFormat="1" x14ac:dyDescent="0.25">
      <c r="A358" s="45"/>
      <c r="B358" s="45"/>
      <c r="C358" s="236"/>
      <c r="D358" s="43"/>
      <c r="E358" s="237"/>
      <c r="F358" s="45"/>
      <c r="G358" s="46"/>
      <c r="H358" s="47"/>
      <c r="I358" s="47"/>
      <c r="J358" s="45"/>
      <c r="K358" s="48"/>
      <c r="L358" s="49"/>
      <c r="M358" s="49"/>
      <c r="N358" s="47"/>
      <c r="O358" s="50"/>
      <c r="P358" s="50"/>
      <c r="Q358" s="241"/>
    </row>
    <row r="359" spans="1:17" s="71" customFormat="1" x14ac:dyDescent="0.25">
      <c r="A359" s="45"/>
      <c r="B359" s="45"/>
      <c r="C359" s="236"/>
      <c r="D359" s="43"/>
      <c r="E359" s="237"/>
      <c r="F359" s="45"/>
      <c r="G359" s="46"/>
      <c r="H359" s="47"/>
      <c r="I359" s="47"/>
      <c r="J359" s="45"/>
      <c r="K359" s="48"/>
      <c r="L359" s="49"/>
      <c r="M359" s="49"/>
      <c r="N359" s="47"/>
      <c r="O359" s="50"/>
      <c r="P359" s="50"/>
      <c r="Q359" s="241"/>
    </row>
    <row r="360" spans="1:17" s="71" customFormat="1" x14ac:dyDescent="0.25">
      <c r="A360" s="45"/>
      <c r="B360" s="45"/>
      <c r="C360" s="236"/>
      <c r="D360" s="43"/>
      <c r="E360" s="237"/>
      <c r="F360" s="45"/>
      <c r="G360" s="46"/>
      <c r="H360" s="47"/>
      <c r="I360" s="47"/>
      <c r="J360" s="45"/>
      <c r="K360" s="48"/>
      <c r="L360" s="49"/>
      <c r="M360" s="49"/>
      <c r="N360" s="47"/>
      <c r="O360" s="50"/>
      <c r="P360" s="50"/>
      <c r="Q360" s="241"/>
    </row>
    <row r="361" spans="1:17" s="71" customFormat="1" x14ac:dyDescent="0.25">
      <c r="A361" s="45"/>
      <c r="B361" s="45"/>
      <c r="C361" s="236"/>
      <c r="D361" s="43"/>
      <c r="E361" s="237"/>
      <c r="F361" s="45"/>
      <c r="G361" s="46"/>
      <c r="H361" s="47"/>
      <c r="I361" s="47"/>
      <c r="J361" s="45"/>
      <c r="K361" s="48"/>
      <c r="L361" s="49"/>
      <c r="M361" s="49"/>
      <c r="N361" s="47"/>
      <c r="O361" s="50"/>
      <c r="P361" s="50"/>
      <c r="Q361" s="241"/>
    </row>
    <row r="362" spans="1:17" s="71" customFormat="1" x14ac:dyDescent="0.25">
      <c r="A362" s="45"/>
      <c r="B362" s="45"/>
      <c r="C362" s="236"/>
      <c r="D362" s="43"/>
      <c r="E362" s="237"/>
      <c r="F362" s="45"/>
      <c r="G362" s="46"/>
      <c r="H362" s="47"/>
      <c r="I362" s="47"/>
      <c r="J362" s="45"/>
      <c r="K362" s="48"/>
      <c r="L362" s="49"/>
      <c r="M362" s="49"/>
      <c r="N362" s="47"/>
      <c r="O362" s="50"/>
      <c r="P362" s="50"/>
      <c r="Q362" s="241"/>
    </row>
    <row r="363" spans="1:17" s="71" customFormat="1" x14ac:dyDescent="0.25">
      <c r="A363" s="45"/>
      <c r="B363" s="45"/>
      <c r="C363" s="236"/>
      <c r="D363" s="43"/>
      <c r="E363" s="237"/>
      <c r="F363" s="45"/>
      <c r="G363" s="46"/>
      <c r="H363" s="47"/>
      <c r="I363" s="47"/>
      <c r="J363" s="45"/>
      <c r="K363" s="48"/>
      <c r="L363" s="49"/>
      <c r="M363" s="49"/>
      <c r="N363" s="47"/>
      <c r="O363" s="50"/>
      <c r="P363" s="50"/>
      <c r="Q363" s="241"/>
    </row>
    <row r="364" spans="1:17" s="71" customFormat="1" x14ac:dyDescent="0.25">
      <c r="A364" s="45"/>
      <c r="B364" s="45"/>
      <c r="C364" s="236"/>
      <c r="D364" s="43"/>
      <c r="E364" s="237"/>
      <c r="F364" s="45"/>
      <c r="G364" s="46"/>
      <c r="H364" s="47"/>
      <c r="I364" s="47"/>
      <c r="J364" s="45"/>
      <c r="K364" s="48"/>
      <c r="L364" s="49"/>
      <c r="M364" s="49"/>
      <c r="N364" s="47"/>
      <c r="O364" s="50"/>
      <c r="P364" s="50"/>
      <c r="Q364" s="241"/>
    </row>
    <row r="365" spans="1:17" s="71" customFormat="1" x14ac:dyDescent="0.25">
      <c r="A365" s="45"/>
      <c r="B365" s="45"/>
      <c r="C365" s="236"/>
      <c r="D365" s="43"/>
      <c r="E365" s="237"/>
      <c r="F365" s="45"/>
      <c r="G365" s="46"/>
      <c r="H365" s="47"/>
      <c r="I365" s="47"/>
      <c r="J365" s="45"/>
      <c r="K365" s="48"/>
      <c r="L365" s="49"/>
      <c r="M365" s="49"/>
      <c r="N365" s="47"/>
      <c r="O365" s="50"/>
      <c r="P365" s="50"/>
      <c r="Q365" s="241"/>
    </row>
    <row r="366" spans="1:17" s="71" customFormat="1" x14ac:dyDescent="0.25">
      <c r="A366" s="45"/>
      <c r="B366" s="45"/>
      <c r="C366" s="236"/>
      <c r="D366" s="43"/>
      <c r="E366" s="237"/>
      <c r="F366" s="45"/>
      <c r="G366" s="46"/>
      <c r="H366" s="47"/>
      <c r="I366" s="47"/>
      <c r="J366" s="45"/>
      <c r="K366" s="48"/>
      <c r="L366" s="49"/>
      <c r="M366" s="49"/>
      <c r="N366" s="47"/>
      <c r="O366" s="50"/>
      <c r="P366" s="50"/>
      <c r="Q366" s="241"/>
    </row>
    <row r="367" spans="1:17" s="71" customFormat="1" x14ac:dyDescent="0.25">
      <c r="A367" s="45"/>
      <c r="B367" s="45"/>
      <c r="C367" s="236"/>
      <c r="D367" s="43"/>
      <c r="E367" s="237"/>
      <c r="F367" s="45"/>
      <c r="G367" s="46"/>
      <c r="H367" s="47"/>
      <c r="I367" s="47"/>
      <c r="J367" s="45"/>
      <c r="K367" s="48"/>
      <c r="L367" s="49"/>
      <c r="M367" s="49"/>
      <c r="N367" s="47"/>
      <c r="O367" s="50"/>
      <c r="P367" s="50"/>
      <c r="Q367" s="241"/>
    </row>
    <row r="368" spans="1:17" s="71" customFormat="1" x14ac:dyDescent="0.25">
      <c r="A368" s="45"/>
      <c r="B368" s="45"/>
      <c r="C368" s="236"/>
      <c r="D368" s="43"/>
      <c r="E368" s="237"/>
      <c r="F368" s="45"/>
      <c r="G368" s="46"/>
      <c r="H368" s="47"/>
      <c r="I368" s="47"/>
      <c r="J368" s="45"/>
      <c r="K368" s="48"/>
      <c r="L368" s="49"/>
      <c r="M368" s="49"/>
      <c r="N368" s="47"/>
      <c r="O368" s="50"/>
      <c r="P368" s="50"/>
      <c r="Q368" s="241"/>
    </row>
    <row r="369" spans="1:17" s="71" customFormat="1" x14ac:dyDescent="0.25">
      <c r="A369" s="45"/>
      <c r="B369" s="45"/>
      <c r="C369" s="236"/>
      <c r="D369" s="43"/>
      <c r="E369" s="237"/>
      <c r="F369" s="45"/>
      <c r="G369" s="46"/>
      <c r="H369" s="47"/>
      <c r="I369" s="47"/>
      <c r="J369" s="45"/>
      <c r="K369" s="48"/>
      <c r="L369" s="49"/>
      <c r="M369" s="49"/>
      <c r="N369" s="47"/>
      <c r="O369" s="50"/>
      <c r="P369" s="50"/>
      <c r="Q369" s="241"/>
    </row>
    <row r="370" spans="1:17" s="71" customFormat="1" x14ac:dyDescent="0.25">
      <c r="A370" s="45"/>
      <c r="B370" s="45"/>
      <c r="C370" s="236"/>
      <c r="D370" s="43"/>
      <c r="E370" s="237"/>
      <c r="F370" s="45"/>
      <c r="G370" s="46"/>
      <c r="H370" s="47"/>
      <c r="I370" s="47"/>
      <c r="J370" s="45"/>
      <c r="K370" s="48"/>
      <c r="L370" s="49"/>
      <c r="M370" s="49"/>
      <c r="N370" s="47"/>
      <c r="O370" s="50"/>
      <c r="P370" s="50"/>
      <c r="Q370" s="241"/>
    </row>
    <row r="371" spans="1:17" s="71" customFormat="1" x14ac:dyDescent="0.25">
      <c r="A371" s="45"/>
      <c r="B371" s="45"/>
      <c r="C371" s="236"/>
      <c r="D371" s="43"/>
      <c r="E371" s="237"/>
      <c r="F371" s="45"/>
      <c r="G371" s="46"/>
      <c r="H371" s="47"/>
      <c r="I371" s="47"/>
      <c r="J371" s="45"/>
      <c r="K371" s="48"/>
      <c r="L371" s="49"/>
      <c r="M371" s="49"/>
      <c r="N371" s="47"/>
      <c r="O371" s="50"/>
      <c r="P371" s="50"/>
      <c r="Q371" s="241"/>
    </row>
    <row r="372" spans="1:17" s="71" customFormat="1" x14ac:dyDescent="0.25">
      <c r="A372" s="45"/>
      <c r="B372" s="45"/>
      <c r="C372" s="236"/>
      <c r="D372" s="43"/>
      <c r="E372" s="237"/>
      <c r="F372" s="45"/>
      <c r="G372" s="46"/>
      <c r="H372" s="47"/>
      <c r="I372" s="47"/>
      <c r="J372" s="45"/>
      <c r="K372" s="48"/>
      <c r="L372" s="49"/>
      <c r="M372" s="49"/>
      <c r="N372" s="47"/>
      <c r="O372" s="50"/>
      <c r="P372" s="50"/>
      <c r="Q372" s="241"/>
    </row>
    <row r="373" spans="1:17" s="71" customFormat="1" x14ac:dyDescent="0.25">
      <c r="A373" s="45"/>
      <c r="B373" s="45"/>
      <c r="C373" s="236"/>
      <c r="D373" s="43"/>
      <c r="E373" s="237"/>
      <c r="F373" s="45"/>
      <c r="G373" s="46"/>
      <c r="H373" s="47"/>
      <c r="I373" s="47"/>
      <c r="J373" s="45"/>
      <c r="K373" s="48"/>
      <c r="L373" s="49"/>
      <c r="M373" s="49"/>
      <c r="N373" s="47"/>
      <c r="O373" s="50"/>
      <c r="P373" s="50"/>
      <c r="Q373" s="241"/>
    </row>
    <row r="374" spans="1:17" s="71" customFormat="1" x14ac:dyDescent="0.25">
      <c r="A374" s="45"/>
      <c r="B374" s="45"/>
      <c r="C374" s="236"/>
      <c r="D374" s="43"/>
      <c r="E374" s="237"/>
      <c r="F374" s="45"/>
      <c r="G374" s="46"/>
      <c r="H374" s="47"/>
      <c r="I374" s="47"/>
      <c r="J374" s="45"/>
      <c r="K374" s="48"/>
      <c r="L374" s="49"/>
      <c r="M374" s="49"/>
      <c r="N374" s="47"/>
      <c r="O374" s="50"/>
      <c r="P374" s="50"/>
      <c r="Q374" s="241"/>
    </row>
    <row r="375" spans="1:17" s="71" customFormat="1" x14ac:dyDescent="0.25">
      <c r="A375" s="45"/>
      <c r="B375" s="45"/>
      <c r="C375" s="236"/>
      <c r="D375" s="43"/>
      <c r="E375" s="237"/>
      <c r="F375" s="45"/>
      <c r="G375" s="46"/>
      <c r="H375" s="47"/>
      <c r="I375" s="47"/>
      <c r="J375" s="45"/>
      <c r="K375" s="48"/>
      <c r="L375" s="49"/>
      <c r="M375" s="49"/>
      <c r="N375" s="47"/>
      <c r="O375" s="50"/>
      <c r="P375" s="50"/>
      <c r="Q375" s="241"/>
    </row>
    <row r="376" spans="1:17" s="71" customFormat="1" x14ac:dyDescent="0.25">
      <c r="A376" s="45"/>
      <c r="B376" s="45"/>
      <c r="C376" s="236"/>
      <c r="D376" s="43"/>
      <c r="E376" s="237"/>
      <c r="F376" s="45"/>
      <c r="G376" s="46"/>
      <c r="H376" s="47"/>
      <c r="I376" s="47"/>
      <c r="J376" s="45"/>
      <c r="K376" s="48"/>
      <c r="L376" s="49"/>
      <c r="M376" s="49"/>
      <c r="N376" s="47"/>
      <c r="O376" s="50"/>
      <c r="P376" s="50"/>
      <c r="Q376" s="241"/>
    </row>
    <row r="377" spans="1:17" s="71" customFormat="1" x14ac:dyDescent="0.25">
      <c r="A377" s="45"/>
      <c r="B377" s="45"/>
      <c r="C377" s="236"/>
      <c r="D377" s="43"/>
      <c r="E377" s="237"/>
      <c r="F377" s="45"/>
      <c r="G377" s="46"/>
      <c r="H377" s="47"/>
      <c r="I377" s="47"/>
      <c r="J377" s="45"/>
      <c r="K377" s="48"/>
      <c r="L377" s="49"/>
      <c r="M377" s="49"/>
      <c r="N377" s="47"/>
      <c r="O377" s="50"/>
      <c r="P377" s="50"/>
      <c r="Q377" s="241"/>
    </row>
    <row r="378" spans="1:17" s="71" customFormat="1" x14ac:dyDescent="0.25">
      <c r="A378" s="45"/>
      <c r="B378" s="45"/>
      <c r="C378" s="236"/>
      <c r="D378" s="43"/>
      <c r="E378" s="237"/>
      <c r="F378" s="45"/>
      <c r="G378" s="46"/>
      <c r="H378" s="47"/>
      <c r="I378" s="47"/>
      <c r="J378" s="45"/>
      <c r="K378" s="48"/>
      <c r="L378" s="49"/>
      <c r="M378" s="49"/>
      <c r="N378" s="47"/>
      <c r="O378" s="50"/>
      <c r="P378" s="50"/>
      <c r="Q378" s="241"/>
    </row>
    <row r="379" spans="1:17" s="71" customFormat="1" x14ac:dyDescent="0.25">
      <c r="A379" s="45"/>
      <c r="B379" s="45"/>
      <c r="C379" s="236"/>
      <c r="D379" s="43"/>
      <c r="E379" s="237"/>
      <c r="F379" s="45"/>
      <c r="G379" s="46"/>
      <c r="H379" s="47"/>
      <c r="I379" s="47"/>
      <c r="J379" s="45"/>
      <c r="K379" s="48"/>
      <c r="L379" s="49"/>
      <c r="M379" s="49"/>
      <c r="N379" s="47"/>
      <c r="O379" s="50"/>
      <c r="P379" s="50"/>
      <c r="Q379" s="241"/>
    </row>
    <row r="380" spans="1:17" s="71" customFormat="1" x14ac:dyDescent="0.25">
      <c r="A380" s="45"/>
      <c r="B380" s="45"/>
      <c r="C380" s="236"/>
      <c r="D380" s="43"/>
      <c r="E380" s="237"/>
      <c r="F380" s="45"/>
      <c r="G380" s="46"/>
      <c r="H380" s="47"/>
      <c r="I380" s="47"/>
      <c r="J380" s="45"/>
      <c r="K380" s="48"/>
      <c r="L380" s="49"/>
      <c r="M380" s="49"/>
      <c r="N380" s="47"/>
      <c r="O380" s="50"/>
      <c r="P380" s="50"/>
      <c r="Q380" s="241"/>
    </row>
    <row r="381" spans="1:17" s="71" customFormat="1" x14ac:dyDescent="0.25">
      <c r="A381" s="45"/>
      <c r="B381" s="45"/>
      <c r="C381" s="236"/>
      <c r="D381" s="43"/>
      <c r="E381" s="237"/>
      <c r="F381" s="45"/>
      <c r="G381" s="46"/>
      <c r="H381" s="47"/>
      <c r="I381" s="47"/>
      <c r="J381" s="45"/>
      <c r="K381" s="48"/>
      <c r="L381" s="49"/>
      <c r="M381" s="49"/>
      <c r="N381" s="47"/>
      <c r="O381" s="50"/>
      <c r="P381" s="50"/>
      <c r="Q381" s="241"/>
    </row>
    <row r="382" spans="1:17" s="71" customFormat="1" x14ac:dyDescent="0.25">
      <c r="A382" s="45"/>
      <c r="B382" s="45"/>
      <c r="C382" s="236"/>
      <c r="D382" s="43"/>
      <c r="E382" s="237"/>
      <c r="F382" s="45"/>
      <c r="G382" s="46"/>
      <c r="H382" s="47"/>
      <c r="I382" s="47"/>
      <c r="J382" s="45"/>
      <c r="K382" s="48"/>
      <c r="L382" s="49"/>
      <c r="M382" s="49"/>
      <c r="N382" s="47"/>
      <c r="O382" s="50"/>
      <c r="P382" s="50"/>
      <c r="Q382" s="241"/>
    </row>
    <row r="383" spans="1:17" s="71" customFormat="1" x14ac:dyDescent="0.25">
      <c r="A383" s="45"/>
      <c r="B383" s="45"/>
      <c r="C383" s="236"/>
      <c r="D383" s="43"/>
      <c r="E383" s="237"/>
      <c r="F383" s="45"/>
      <c r="G383" s="46"/>
      <c r="H383" s="47"/>
      <c r="I383" s="47"/>
      <c r="J383" s="45"/>
      <c r="K383" s="48"/>
      <c r="L383" s="49"/>
      <c r="M383" s="49"/>
      <c r="N383" s="47"/>
      <c r="O383" s="50"/>
      <c r="P383" s="50"/>
      <c r="Q383" s="241"/>
    </row>
    <row r="384" spans="1:17" s="71" customFormat="1" x14ac:dyDescent="0.25">
      <c r="A384" s="45"/>
      <c r="B384" s="45"/>
      <c r="C384" s="236"/>
      <c r="D384" s="43"/>
      <c r="E384" s="237"/>
      <c r="F384" s="45"/>
      <c r="G384" s="46"/>
      <c r="H384" s="47"/>
      <c r="I384" s="47"/>
      <c r="J384" s="45"/>
      <c r="K384" s="48"/>
      <c r="L384" s="49"/>
      <c r="M384" s="49"/>
      <c r="N384" s="47"/>
      <c r="O384" s="50"/>
      <c r="P384" s="50"/>
      <c r="Q384" s="241"/>
    </row>
    <row r="385" spans="1:17" s="71" customFormat="1" x14ac:dyDescent="0.25">
      <c r="A385" s="45"/>
      <c r="B385" s="45"/>
      <c r="C385" s="236"/>
      <c r="D385" s="43"/>
      <c r="E385" s="237"/>
      <c r="F385" s="45"/>
      <c r="G385" s="46"/>
      <c r="H385" s="47"/>
      <c r="I385" s="47"/>
      <c r="J385" s="45"/>
      <c r="K385" s="48"/>
      <c r="L385" s="49"/>
      <c r="M385" s="49"/>
      <c r="N385" s="47"/>
      <c r="O385" s="50"/>
      <c r="P385" s="50"/>
      <c r="Q385" s="241"/>
    </row>
    <row r="386" spans="1:17" s="71" customFormat="1" x14ac:dyDescent="0.25">
      <c r="A386" s="45"/>
      <c r="B386" s="45"/>
      <c r="C386" s="236"/>
      <c r="D386" s="43"/>
      <c r="E386" s="237"/>
      <c r="F386" s="45"/>
      <c r="G386" s="46"/>
      <c r="H386" s="47"/>
      <c r="I386" s="47"/>
      <c r="J386" s="45"/>
      <c r="K386" s="48"/>
      <c r="L386" s="49"/>
      <c r="M386" s="49"/>
      <c r="N386" s="47"/>
      <c r="O386" s="50"/>
      <c r="P386" s="50"/>
      <c r="Q386" s="241"/>
    </row>
    <row r="387" spans="1:17" s="71" customFormat="1" x14ac:dyDescent="0.25">
      <c r="A387" s="45"/>
      <c r="B387" s="45"/>
      <c r="C387" s="236"/>
      <c r="D387" s="43"/>
      <c r="E387" s="237"/>
      <c r="F387" s="45"/>
      <c r="G387" s="46"/>
      <c r="H387" s="47"/>
      <c r="I387" s="47"/>
      <c r="J387" s="45"/>
      <c r="K387" s="48"/>
      <c r="L387" s="49"/>
      <c r="M387" s="49"/>
      <c r="N387" s="47"/>
      <c r="O387" s="50"/>
      <c r="P387" s="50"/>
      <c r="Q387" s="241"/>
    </row>
    <row r="388" spans="1:17" s="71" customFormat="1" x14ac:dyDescent="0.25">
      <c r="A388" s="45"/>
      <c r="B388" s="45"/>
      <c r="C388" s="236"/>
      <c r="D388" s="43"/>
      <c r="E388" s="237"/>
      <c r="F388" s="45"/>
      <c r="G388" s="46"/>
      <c r="H388" s="47"/>
      <c r="I388" s="47"/>
      <c r="J388" s="45"/>
      <c r="K388" s="48"/>
      <c r="L388" s="49"/>
      <c r="M388" s="49"/>
      <c r="N388" s="47"/>
      <c r="O388" s="50"/>
      <c r="P388" s="50"/>
      <c r="Q388" s="241"/>
    </row>
    <row r="389" spans="1:17" s="71" customFormat="1" x14ac:dyDescent="0.25">
      <c r="A389" s="45"/>
      <c r="B389" s="45"/>
      <c r="C389" s="236"/>
      <c r="D389" s="43"/>
      <c r="E389" s="237"/>
      <c r="F389" s="45"/>
      <c r="G389" s="46"/>
      <c r="H389" s="47"/>
      <c r="I389" s="47"/>
      <c r="J389" s="45"/>
      <c r="K389" s="48"/>
      <c r="L389" s="49"/>
      <c r="M389" s="49"/>
      <c r="N389" s="47"/>
      <c r="O389" s="50"/>
      <c r="P389" s="50"/>
      <c r="Q389" s="241"/>
    </row>
    <row r="390" spans="1:17" s="71" customFormat="1" x14ac:dyDescent="0.25">
      <c r="A390" s="45"/>
      <c r="B390" s="45"/>
      <c r="C390" s="236"/>
      <c r="D390" s="43"/>
      <c r="E390" s="237"/>
      <c r="F390" s="45"/>
      <c r="G390" s="46"/>
      <c r="H390" s="47"/>
      <c r="I390" s="47"/>
      <c r="J390" s="45"/>
      <c r="K390" s="48"/>
      <c r="L390" s="49"/>
      <c r="M390" s="49"/>
      <c r="N390" s="47"/>
      <c r="O390" s="50"/>
      <c r="P390" s="50"/>
      <c r="Q390" s="241"/>
    </row>
    <row r="391" spans="1:17" s="71" customFormat="1" x14ac:dyDescent="0.25">
      <c r="A391" s="45"/>
      <c r="B391" s="45"/>
      <c r="C391" s="236"/>
      <c r="D391" s="43"/>
      <c r="E391" s="237"/>
      <c r="F391" s="45"/>
      <c r="G391" s="46"/>
      <c r="H391" s="47"/>
      <c r="I391" s="47"/>
      <c r="J391" s="45"/>
      <c r="K391" s="48"/>
      <c r="L391" s="49"/>
      <c r="M391" s="49"/>
      <c r="N391" s="47"/>
      <c r="O391" s="50"/>
      <c r="P391" s="50"/>
      <c r="Q391" s="241"/>
    </row>
    <row r="392" spans="1:17" s="71" customFormat="1" x14ac:dyDescent="0.25">
      <c r="A392" s="45"/>
      <c r="B392" s="45"/>
      <c r="C392" s="236"/>
      <c r="D392" s="43"/>
      <c r="E392" s="237"/>
      <c r="F392" s="45"/>
      <c r="G392" s="46"/>
      <c r="H392" s="47"/>
      <c r="I392" s="47"/>
      <c r="J392" s="45"/>
      <c r="K392" s="48"/>
      <c r="L392" s="49"/>
      <c r="M392" s="49"/>
      <c r="N392" s="47"/>
      <c r="O392" s="50"/>
      <c r="P392" s="50"/>
      <c r="Q392" s="241"/>
    </row>
    <row r="393" spans="1:17" s="71" customFormat="1" x14ac:dyDescent="0.25">
      <c r="A393" s="45"/>
      <c r="B393" s="45"/>
      <c r="C393" s="236"/>
      <c r="D393" s="43"/>
      <c r="E393" s="237"/>
      <c r="F393" s="45"/>
      <c r="G393" s="46"/>
      <c r="H393" s="47"/>
      <c r="I393" s="47"/>
      <c r="J393" s="45"/>
      <c r="K393" s="48"/>
      <c r="L393" s="49"/>
      <c r="M393" s="49"/>
      <c r="N393" s="47"/>
      <c r="O393" s="50"/>
      <c r="P393" s="50"/>
      <c r="Q393" s="241"/>
    </row>
    <row r="394" spans="1:17" s="71" customFormat="1" x14ac:dyDescent="0.25">
      <c r="A394" s="45"/>
      <c r="B394" s="45"/>
      <c r="C394" s="236"/>
      <c r="D394" s="43"/>
      <c r="E394" s="237"/>
      <c r="F394" s="45"/>
      <c r="G394" s="46"/>
      <c r="H394" s="47"/>
      <c r="I394" s="47"/>
      <c r="J394" s="45"/>
      <c r="K394" s="48"/>
      <c r="L394" s="49"/>
      <c r="M394" s="49"/>
      <c r="N394" s="47"/>
      <c r="O394" s="50"/>
      <c r="P394" s="50"/>
      <c r="Q394" s="241"/>
    </row>
    <row r="395" spans="1:17" s="71" customFormat="1" x14ac:dyDescent="0.25">
      <c r="A395" s="45"/>
      <c r="B395" s="45"/>
      <c r="C395" s="236"/>
      <c r="D395" s="43"/>
      <c r="E395" s="237"/>
      <c r="F395" s="45"/>
      <c r="G395" s="46"/>
      <c r="H395" s="47"/>
      <c r="I395" s="47"/>
      <c r="J395" s="45"/>
      <c r="K395" s="48"/>
      <c r="L395" s="49"/>
      <c r="M395" s="49"/>
      <c r="N395" s="47"/>
      <c r="O395" s="50"/>
      <c r="P395" s="50"/>
      <c r="Q395" s="241"/>
    </row>
    <row r="396" spans="1:17" s="71" customFormat="1" x14ac:dyDescent="0.25">
      <c r="A396" s="45"/>
      <c r="B396" s="45"/>
      <c r="C396" s="236"/>
      <c r="D396" s="43"/>
      <c r="E396" s="237"/>
      <c r="F396" s="45"/>
      <c r="G396" s="46"/>
      <c r="H396" s="47"/>
      <c r="I396" s="47"/>
      <c r="J396" s="45"/>
      <c r="K396" s="48"/>
      <c r="L396" s="49"/>
      <c r="M396" s="49"/>
      <c r="N396" s="47"/>
      <c r="O396" s="50"/>
      <c r="P396" s="50"/>
      <c r="Q396" s="241"/>
    </row>
    <row r="397" spans="1:17" s="71" customFormat="1" x14ac:dyDescent="0.25">
      <c r="A397" s="45"/>
      <c r="B397" s="45"/>
      <c r="C397" s="236"/>
      <c r="D397" s="43"/>
      <c r="E397" s="237"/>
      <c r="F397" s="45"/>
      <c r="G397" s="46"/>
      <c r="H397" s="47"/>
      <c r="I397" s="47"/>
      <c r="J397" s="45"/>
      <c r="K397" s="48"/>
      <c r="L397" s="49"/>
      <c r="M397" s="49"/>
      <c r="N397" s="47"/>
      <c r="O397" s="50"/>
      <c r="P397" s="50"/>
      <c r="Q397" s="241"/>
    </row>
    <row r="398" spans="1:17" s="71" customFormat="1" x14ac:dyDescent="0.25">
      <c r="A398" s="45"/>
      <c r="B398" s="45"/>
      <c r="C398" s="236"/>
      <c r="D398" s="43"/>
      <c r="E398" s="237"/>
      <c r="F398" s="45"/>
      <c r="G398" s="46"/>
      <c r="H398" s="47"/>
      <c r="I398" s="47"/>
      <c r="J398" s="45"/>
      <c r="K398" s="48"/>
      <c r="L398" s="49"/>
      <c r="M398" s="49"/>
      <c r="N398" s="47"/>
      <c r="O398" s="50"/>
      <c r="P398" s="50"/>
      <c r="Q398" s="241"/>
    </row>
    <row r="399" spans="1:17" s="71" customFormat="1" x14ac:dyDescent="0.25">
      <c r="A399" s="45"/>
      <c r="B399" s="45"/>
      <c r="C399" s="236"/>
      <c r="D399" s="43"/>
      <c r="E399" s="237"/>
      <c r="F399" s="45"/>
      <c r="G399" s="46"/>
      <c r="H399" s="47"/>
      <c r="I399" s="47"/>
      <c r="J399" s="45"/>
      <c r="K399" s="48"/>
      <c r="L399" s="49"/>
      <c r="M399" s="49"/>
      <c r="N399" s="47"/>
      <c r="O399" s="50"/>
      <c r="P399" s="50"/>
      <c r="Q399" s="241"/>
    </row>
    <row r="400" spans="1:17" s="71" customFormat="1" x14ac:dyDescent="0.25">
      <c r="A400" s="45"/>
      <c r="B400" s="45"/>
      <c r="C400" s="236"/>
      <c r="D400" s="43"/>
      <c r="E400" s="237"/>
      <c r="F400" s="45"/>
      <c r="G400" s="46"/>
      <c r="H400" s="47"/>
      <c r="I400" s="47"/>
      <c r="J400" s="45"/>
      <c r="K400" s="48"/>
      <c r="L400" s="49"/>
      <c r="M400" s="49"/>
      <c r="N400" s="47"/>
      <c r="O400" s="50"/>
      <c r="P400" s="50"/>
      <c r="Q400" s="241"/>
    </row>
    <row r="401" spans="1:17" s="71" customFormat="1" x14ac:dyDescent="0.25">
      <c r="A401" s="45"/>
      <c r="B401" s="45"/>
      <c r="C401" s="236"/>
      <c r="D401" s="43"/>
      <c r="E401" s="237"/>
      <c r="F401" s="45"/>
      <c r="G401" s="46"/>
      <c r="H401" s="47"/>
      <c r="I401" s="47"/>
      <c r="J401" s="45"/>
      <c r="K401" s="48"/>
      <c r="L401" s="49"/>
      <c r="M401" s="49"/>
      <c r="N401" s="47"/>
      <c r="O401" s="50"/>
      <c r="P401" s="50"/>
      <c r="Q401" s="241"/>
    </row>
    <row r="402" spans="1:17" s="71" customFormat="1" x14ac:dyDescent="0.25">
      <c r="A402" s="45"/>
      <c r="B402" s="45"/>
      <c r="C402" s="236"/>
      <c r="D402" s="43"/>
      <c r="E402" s="237"/>
      <c r="F402" s="45"/>
      <c r="G402" s="46"/>
      <c r="H402" s="47"/>
      <c r="I402" s="47"/>
      <c r="J402" s="45"/>
      <c r="K402" s="48"/>
      <c r="L402" s="49"/>
      <c r="M402" s="49"/>
      <c r="N402" s="47"/>
      <c r="O402" s="50"/>
      <c r="P402" s="50"/>
      <c r="Q402" s="241"/>
    </row>
    <row r="403" spans="1:17" s="71" customFormat="1" x14ac:dyDescent="0.25">
      <c r="A403" s="45"/>
      <c r="B403" s="45"/>
      <c r="C403" s="236"/>
      <c r="D403" s="43"/>
      <c r="E403" s="237"/>
      <c r="F403" s="45"/>
      <c r="G403" s="46"/>
      <c r="H403" s="47"/>
      <c r="I403" s="47"/>
      <c r="J403" s="45"/>
      <c r="K403" s="48"/>
      <c r="L403" s="49"/>
      <c r="M403" s="49"/>
      <c r="N403" s="47"/>
      <c r="O403" s="50"/>
      <c r="P403" s="50"/>
      <c r="Q403" s="241"/>
    </row>
    <row r="404" spans="1:17" s="71" customFormat="1" x14ac:dyDescent="0.25">
      <c r="A404" s="45"/>
      <c r="B404" s="45"/>
      <c r="C404" s="236"/>
      <c r="D404" s="43"/>
      <c r="E404" s="237"/>
      <c r="F404" s="45"/>
      <c r="G404" s="46"/>
      <c r="H404" s="47"/>
      <c r="I404" s="47"/>
      <c r="J404" s="45"/>
      <c r="K404" s="48"/>
      <c r="L404" s="49"/>
      <c r="M404" s="49"/>
      <c r="N404" s="47"/>
      <c r="O404" s="50"/>
      <c r="P404" s="50"/>
      <c r="Q404" s="241"/>
    </row>
    <row r="405" spans="1:17" s="71" customFormat="1" x14ac:dyDescent="0.25">
      <c r="A405" s="45"/>
      <c r="B405" s="45"/>
      <c r="C405" s="236"/>
      <c r="D405" s="43"/>
      <c r="E405" s="237"/>
      <c r="F405" s="45"/>
      <c r="G405" s="46"/>
      <c r="H405" s="47"/>
      <c r="I405" s="47"/>
      <c r="J405" s="45"/>
      <c r="K405" s="48"/>
      <c r="L405" s="49"/>
      <c r="M405" s="49"/>
      <c r="N405" s="47"/>
      <c r="O405" s="50"/>
      <c r="P405" s="50"/>
      <c r="Q405" s="241"/>
    </row>
    <row r="406" spans="1:17" s="71" customFormat="1" x14ac:dyDescent="0.25">
      <c r="A406" s="45"/>
      <c r="B406" s="45"/>
      <c r="C406" s="236"/>
      <c r="D406" s="43"/>
      <c r="E406" s="237"/>
      <c r="F406" s="45"/>
      <c r="G406" s="46"/>
      <c r="H406" s="47"/>
      <c r="I406" s="47"/>
      <c r="J406" s="45"/>
      <c r="K406" s="48"/>
      <c r="L406" s="49"/>
      <c r="M406" s="49"/>
      <c r="N406" s="47"/>
      <c r="O406" s="50"/>
      <c r="P406" s="50"/>
      <c r="Q406" s="241"/>
    </row>
    <row r="407" spans="1:17" s="71" customFormat="1" x14ac:dyDescent="0.25">
      <c r="A407" s="45"/>
      <c r="B407" s="45"/>
      <c r="C407" s="236"/>
      <c r="D407" s="43"/>
      <c r="E407" s="237"/>
      <c r="F407" s="45"/>
      <c r="G407" s="46"/>
      <c r="H407" s="47"/>
      <c r="I407" s="47"/>
      <c r="J407" s="45"/>
      <c r="K407" s="48"/>
      <c r="L407" s="49"/>
      <c r="M407" s="49"/>
      <c r="N407" s="47"/>
      <c r="O407" s="50"/>
      <c r="P407" s="50"/>
      <c r="Q407" s="241"/>
    </row>
    <row r="408" spans="1:17" s="71" customFormat="1" x14ac:dyDescent="0.25">
      <c r="A408" s="45"/>
      <c r="B408" s="45"/>
      <c r="C408" s="236"/>
      <c r="D408" s="43"/>
      <c r="E408" s="237"/>
      <c r="F408" s="45"/>
      <c r="G408" s="46"/>
      <c r="H408" s="47"/>
      <c r="I408" s="47"/>
      <c r="J408" s="45"/>
      <c r="K408" s="48"/>
      <c r="L408" s="49"/>
      <c r="M408" s="49"/>
      <c r="N408" s="47"/>
      <c r="O408" s="50"/>
      <c r="P408" s="50"/>
      <c r="Q408" s="241"/>
    </row>
    <row r="409" spans="1:17" s="71" customFormat="1" x14ac:dyDescent="0.25">
      <c r="A409" s="45"/>
      <c r="B409" s="45"/>
      <c r="C409" s="236"/>
      <c r="D409" s="43"/>
      <c r="E409" s="237"/>
      <c r="F409" s="45"/>
      <c r="G409" s="46"/>
      <c r="H409" s="47"/>
      <c r="I409" s="47"/>
      <c r="J409" s="45"/>
      <c r="K409" s="48"/>
      <c r="L409" s="49"/>
      <c r="M409" s="49"/>
      <c r="N409" s="47"/>
      <c r="O409" s="50"/>
      <c r="P409" s="50"/>
      <c r="Q409" s="241"/>
    </row>
    <row r="410" spans="1:17" s="71" customFormat="1" x14ac:dyDescent="0.25">
      <c r="A410" s="45"/>
      <c r="B410" s="45"/>
      <c r="C410" s="236"/>
      <c r="D410" s="43"/>
      <c r="E410" s="237"/>
      <c r="F410" s="45"/>
      <c r="G410" s="46"/>
      <c r="H410" s="47"/>
      <c r="I410" s="47"/>
      <c r="J410" s="45"/>
      <c r="K410" s="48"/>
      <c r="L410" s="49"/>
      <c r="M410" s="49"/>
      <c r="N410" s="47"/>
      <c r="O410" s="50"/>
      <c r="P410" s="50"/>
      <c r="Q410" s="241"/>
    </row>
    <row r="411" spans="1:17" s="71" customFormat="1" x14ac:dyDescent="0.25">
      <c r="A411" s="45"/>
      <c r="B411" s="45"/>
      <c r="C411" s="236"/>
      <c r="D411" s="43"/>
      <c r="E411" s="237"/>
      <c r="F411" s="45"/>
      <c r="G411" s="46"/>
      <c r="H411" s="47"/>
      <c r="I411" s="47"/>
      <c r="J411" s="45"/>
      <c r="K411" s="48"/>
      <c r="L411" s="49"/>
      <c r="M411" s="49"/>
      <c r="N411" s="47"/>
      <c r="O411" s="50"/>
      <c r="P411" s="50"/>
      <c r="Q411" s="241"/>
    </row>
    <row r="412" spans="1:17" s="71" customFormat="1" x14ac:dyDescent="0.25">
      <c r="A412" s="45"/>
      <c r="B412" s="45"/>
      <c r="C412" s="236"/>
      <c r="D412" s="43"/>
      <c r="E412" s="237"/>
      <c r="F412" s="45"/>
      <c r="G412" s="46"/>
      <c r="H412" s="47"/>
      <c r="I412" s="47"/>
      <c r="J412" s="45"/>
      <c r="K412" s="48"/>
      <c r="L412" s="49"/>
      <c r="M412" s="49"/>
      <c r="N412" s="47"/>
      <c r="O412" s="50"/>
      <c r="P412" s="50"/>
      <c r="Q412" s="241"/>
    </row>
    <row r="413" spans="1:17" s="71" customFormat="1" x14ac:dyDescent="0.25">
      <c r="A413" s="45"/>
      <c r="B413" s="45"/>
      <c r="C413" s="236"/>
      <c r="D413" s="43"/>
      <c r="E413" s="237"/>
      <c r="F413" s="45"/>
      <c r="G413" s="46"/>
      <c r="H413" s="47"/>
      <c r="I413" s="47"/>
      <c r="J413" s="45"/>
      <c r="K413" s="48"/>
      <c r="L413" s="49"/>
      <c r="M413" s="49"/>
      <c r="N413" s="47"/>
      <c r="O413" s="50"/>
      <c r="P413" s="50"/>
      <c r="Q413" s="241"/>
    </row>
    <row r="414" spans="1:17" s="71" customFormat="1" x14ac:dyDescent="0.25">
      <c r="A414" s="45"/>
      <c r="B414" s="45"/>
      <c r="C414" s="236"/>
      <c r="D414" s="43"/>
      <c r="E414" s="237"/>
      <c r="F414" s="45"/>
      <c r="G414" s="46"/>
      <c r="H414" s="47"/>
      <c r="I414" s="47"/>
      <c r="J414" s="45"/>
      <c r="K414" s="48"/>
      <c r="L414" s="49"/>
      <c r="M414" s="49"/>
      <c r="N414" s="47"/>
      <c r="O414" s="50"/>
      <c r="P414" s="50"/>
      <c r="Q414" s="241"/>
    </row>
  </sheetData>
  <autoFilter ref="A9:U310" xr:uid="{4D66AB06-26D4-4206-90B0-81793DADBAF8}"/>
  <dataConsolidate/>
  <customSheetViews>
    <customSheetView guid="{AAF2946E-7453-46F2-916B-BAC2F187BBE7}" scale="70" showPageBreaks="1" fitToPage="1" printArea="1" showAutoFilter="1" view="pageBreakPreview">
      <pane xSplit="1" ySplit="5" topLeftCell="C30" activePane="bottomRight" state="frozen"/>
      <selection pane="bottomRight" activeCell="C32" sqref="C32"/>
      <pageMargins left="1.01" right="0.18" top="0.56000000000000005" bottom="0.6" header="0.56999999999999995" footer="0.6"/>
      <pageSetup paperSize="121" scale="37" fitToHeight="0" orientation="landscape" r:id="rId1"/>
      <autoFilter ref="A2:T123" xr:uid="{00000000-0000-0000-0000-000000000000}"/>
    </customSheetView>
    <customSheetView guid="{BC91FB49-42C0-4693-8A12-AF7ACDEEF192}" scale="70" showPageBreaks="1" fitToPage="1" printArea="1" showAutoFilter="1" view="pageBreakPreview" topLeftCell="C1">
      <pane ySplit="2" topLeftCell="A113" activePane="bottomLeft" state="frozen"/>
      <selection pane="bottomLeft" activeCell="F117" sqref="F117"/>
      <pageMargins left="1.01" right="0.18" top="0.56000000000000005" bottom="0.6" header="0.56999999999999995" footer="0.6"/>
      <pageSetup paperSize="121" scale="37" fitToHeight="0" orientation="landscape" r:id="rId2"/>
      <autoFilter ref="A2:T125" xr:uid="{00000000-0000-0000-0000-000000000000}"/>
    </customSheetView>
  </customSheetViews>
  <mergeCells count="17">
    <mergeCell ref="K1:M1"/>
    <mergeCell ref="K2:M2"/>
    <mergeCell ref="A309:P309"/>
    <mergeCell ref="A7:E7"/>
    <mergeCell ref="I7:M7"/>
    <mergeCell ref="K3:M3"/>
    <mergeCell ref="K4:M4"/>
    <mergeCell ref="K5:M6"/>
    <mergeCell ref="A1:A6"/>
    <mergeCell ref="B1:J1"/>
    <mergeCell ref="B2:J2"/>
    <mergeCell ref="B3:J3"/>
    <mergeCell ref="B4:J4"/>
    <mergeCell ref="B5:G5"/>
    <mergeCell ref="H5:J5"/>
    <mergeCell ref="B6:G6"/>
    <mergeCell ref="H6:J6"/>
  </mergeCells>
  <dataValidations count="2">
    <dataValidation allowBlank="1" showInputMessage="1" showErrorMessage="1" error="Seleccione una de las opciones de la celda" sqref="D118:D125 D127 D129:D135" xr:uid="{00000000-0002-0000-0100-000000000000}"/>
    <dataValidation showDropDown="1" showInputMessage="1" showErrorMessage="1" sqref="C76:C81 C195:C199 C170:C174 C45:C51 C207:C209 C24:C31 C53:C55 C33:C43 C73:C74 C89:C114 C125:C130 C135:C141 C177:C178 C181:C182 D197:D203 C206:D206 C57:C71" xr:uid="{00000000-0002-0000-0100-000001000000}"/>
  </dataValidations>
  <printOptions horizontalCentered="1" verticalCentered="1"/>
  <pageMargins left="0.23622047244094491" right="0.19685039370078741" top="0.55118110236220474" bottom="0.59055118110236227" header="0.55118110236220474" footer="0.59055118110236227"/>
  <pageSetup paperSize="518" scale="16" orientation="landscape" r:id="rId3"/>
  <headerFooter>
    <oddFooter>&amp;C&amp;22&amp;P de &amp;N
Versión 17</oddFooter>
  </headerFooter>
  <rowBreaks count="11" manualBreakCount="11">
    <brk id="31" max="16383" man="1"/>
    <brk id="55" max="16383" man="1"/>
    <brk id="83" max="16383" man="1"/>
    <brk id="114" max="15" man="1"/>
    <brk id="138" max="16383" man="1"/>
    <brk id="163" max="16383" man="1"/>
    <brk id="193" max="16383" man="1"/>
    <brk id="221" max="15" man="1"/>
    <brk id="245" max="16383" man="1"/>
    <brk id="270" max="15" man="1"/>
    <brk id="296" max="15" man="1"/>
  </rowBreaks>
  <colBreaks count="1" manualBreakCount="1">
    <brk id="16" max="1048575" man="1"/>
  </colBreaks>
  <drawing r:id="rId4"/>
  <legacyDrawing r:id="rId5"/>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100-000002000000}">
          <x14:formula1>
            <xm:f>LISTAS!$B$38</xm:f>
          </x14:formula1>
          <xm:sqref>C115:C118 C120:C124 C131:C134</xm:sqref>
        </x14:dataValidation>
        <x14:dataValidation type="list" allowBlank="1" showInputMessage="1" showErrorMessage="1" xr:uid="{00000000-0002-0000-0100-000003000000}">
          <x14:formula1>
            <xm:f>LISTAS!$B$24:$B$27</xm:f>
          </x14:formula1>
          <xm:sqref>C11 C18:C21</xm:sqref>
        </x14:dataValidation>
        <x14:dataValidation type="list" allowBlank="1" showInputMessage="1" showErrorMessage="1" xr:uid="{00000000-0002-0000-0100-000004000000}">
          <x14:formula1>
            <xm:f>LISTAS!$B$32:$B$35</xm:f>
          </x14:formula1>
          <xm:sqref>C72</xm:sqref>
        </x14:dataValidation>
        <x14:dataValidation type="list" allowBlank="1" showInputMessage="1" showErrorMessage="1" xr:uid="{00000000-0002-0000-0100-000005000000}">
          <x14:formula1>
            <xm:f>'C:\Users\oflorez\Documents\Oscar Flórez Moreno\2017\Plan de contratación\[PLAN DE CONTRATACION RAPE 2017_Dirección Corporativa.xlsx]LISTAS'!#REF!</xm:f>
          </x14:formula1>
          <xm:sqref>M238:M249 F238:F247 B210:B248 F210:F236 M210:M235</xm:sqref>
        </x14:dataValidation>
        <x14:dataValidation type="list" allowBlank="1" showInputMessage="1" showErrorMessage="1" xr:uid="{00000000-0002-0000-0100-000006000000}">
          <x14:formula1>
            <xm:f>LISTAS!$B$39:$B$42</xm:f>
          </x14:formula1>
          <xm:sqref>C179:C180</xm:sqref>
        </x14:dataValidation>
        <x14:dataValidation type="list" allowBlank="1" showInputMessage="1" showErrorMessage="1" xr:uid="{00000000-0002-0000-0100-000007000000}">
          <x14:formula1>
            <xm:f>LISTAS!$B$28:$B$31</xm:f>
          </x14:formula1>
          <xm:sqref>C44</xm:sqref>
        </x14:dataValidation>
        <x14:dataValidation type="list" allowBlank="1" showInputMessage="1" showErrorMessage="1" xr:uid="{00000000-0002-0000-0100-000008000000}">
          <x14:formula1>
            <xm:f>LISTAS!$E$2:$E$8</xm:f>
          </x14:formula1>
          <xm:sqref>C23 C175 F31:F32 F115:F116 F51:F56 C52 F43:F46 C75 F72:F77 F129:F131 F134:F135 F11:F27 C119 F111 F113 F118:F119 F127 F121:F125 B205:B209 F93 B71:B104 B187:B203 B111:B185 B11:B68</xm:sqref>
        </x14:dataValidation>
        <x14:dataValidation type="list" allowBlank="1" showInputMessage="1" showErrorMessage="1" xr:uid="{00000000-0002-0000-0100-000009000000}">
          <x14:formula1>
            <xm:f>LISTAS!$E$24:$E$32</xm:f>
          </x14:formula1>
          <xm:sqref>H155:H170 H208:H209 H134:H135 H145:H146 H172:H177 H197 H11:H27 H192:H194 H31:H32 I45:L45 H43:H46 G45 I53:L55 H51:H56 G53:G55 H72:H77 H129:H131 H115:H116 H238:H247 H142:H143 H110:H111 H113 H118:H119 H127 H121:H125 H202:H203 H230:H233 H148:H153 H100 H235:H236 H179:H182 H106 H220:H227 H58</xm:sqref>
        </x14:dataValidation>
        <x14:dataValidation type="list" allowBlank="1" showInputMessage="1" showErrorMessage="1" xr:uid="{00000000-0002-0000-0100-00000A000000}">
          <x14:formula1>
            <xm:f>LISTAS!$E$11:$E$16</xm:f>
          </x14:formula1>
          <xm:sqref>M137:M143 M145:M146 M236:M237 M29:M32 M43:M46 M72:M77 M82:M89 M79:M80 M110:M111 M113 M115:M125 M127:M135 M11:M27 M92 M48:M56 M206:M209 M148:M203</xm:sqref>
        </x14:dataValidation>
        <x14:dataValidation type="list" allowBlank="1" showInputMessage="1" showErrorMessage="1" xr:uid="{00000000-0002-0000-0100-00000B000000}">
          <x14:formula1>
            <xm:f>LISTAS!#REF!</xm:f>
          </x14:formula1>
          <xm:sqref>H210:H219 H228:H229 H234</xm:sqref>
        </x14:dataValidation>
        <x14:dataValidation type="list" allowBlank="1" showInputMessage="1" showErrorMessage="1" xr:uid="{00000000-0002-0000-0100-00000C000000}">
          <x14:formula1>
            <xm:f>LISTAS!$B$2:$B$19</xm:f>
          </x14:formula1>
          <xm:sqref>F142:F143 F145:F146 F148:F153 F192:F203 F237 F206:F209 F155:F182</xm:sqref>
        </x14:dataValidation>
        <x14:dataValidation type="list" allowBlank="1" showInputMessage="1" showErrorMessage="1" xr:uid="{00000000-0002-0000-0100-00000D000000}">
          <x14:formula1>
            <xm:f>'https://regioncentral-my.sharepoint.com/personal/eclavijo_regioncentralrape_gov_co/Documents/Edwin Clavijo/Plan de Contratacion/Modificaciones/[8 Plantilla anexa Ajuste con POAI 2017 Comunicaciones.xlsx]LISTAS'!#REF!</xm:f>
          </x14:formula1>
          <xm:sqref>H171 H178 H198:H201 H195 H203</xm:sqref>
        </x14:dataValidation>
        <x14:dataValidation type="list" allowBlank="1" showInputMessage="1" showErrorMessage="1" xr:uid="{00000000-0002-0000-0100-00000E000000}">
          <x14:formula1>
            <xm:f>'C:\Users\eclavijo\AppData\Local\Microsoft\Windows\INetCache\Content.Outlook\S1B3GWE2\[Ajuste Plan de Adquisiciones. Incorporación POAI.2017.V.2. (002).xlsx]LISTAS'!#REF!</xm:f>
          </x14:formula1>
          <xm:sqref>M144 M147 F144 F147 H144 H147</xm:sqref>
        </x14:dataValidation>
        <x14:dataValidation type="list" allowBlank="1" showInputMessage="1" showErrorMessage="1" xr:uid="{00000000-0002-0000-0100-00000F000000}">
          <x14:formula1>
            <xm:f>'https://regioncentral-my.sharepoint.com/Users/eclavijo/AppData/Local/Microsoft/Windows/INetCache/Content.Outlook/S1B3GWE2/[Ajuste Plan de Adquisiciones. Incorporación POAI.2017.V.4..xlsx]LISTAS'!#REF!</xm:f>
          </x14:formula1>
          <xm:sqref>H154 F154 H183:H191 F183:F185 F187:F191</xm:sqref>
        </x14:dataValidation>
        <x14:dataValidation type="list" allowBlank="1" showInputMessage="1" showErrorMessage="1" xr:uid="{00000000-0002-0000-0100-000010000000}">
          <x14:formula1>
            <xm:f>'https://regioncentral-my.sharepoint.com/Users/eclavijo/AppData/Local/Microsoft/Windows/INetCache/Content.Outlook/S1B3GWE2/[Plantilla Plan de Contratacion_ajuste POAI_julio.xlsx]LISTAS'!#REF!</xm:f>
          </x14:formula1>
          <xm:sqref>H28:H30 H40:H42 F47:F50 F78 H117 H132:H133 F112 F114 F126 F128 F120 F117 F132:F133 F136:F141 M28 F33:F42 M47 M78 M81 F28:F30 M112 M114 M126 M136 M93:M101 H120 H105 H136:H141 H78 H59:H62 M33:M42 H112 H114 H126 H128 H33:H38 M90:M91 F71 B69 M71 F59:F62 H71 H64:H69 F64:F69 H47:H50 M57:M69</xm:sqref>
        </x14:dataValidation>
        <x14:dataValidation type="list" allowBlank="1" showInputMessage="1" showErrorMessage="1" xr:uid="{00000000-0002-0000-0100-000011000000}">
          <x14:formula1>
            <xm:f>'C:\Users\scastellanos\OneDrive - Región Administrativa y de Planeación Especial RAPE\PRESUPUESTO\2017\PLAN DE ADQUISICIONES\[Copia de PLAN DE CONTRATACION RAPE 2017_Version 8.1_AYUDA EDWIN.xlsx]LISTAS'!#REF!</xm:f>
          </x14:formula1>
          <xm:sqref>F10 B10 H10 M10 F79:F80 F82:F89 H89 H86 H79:H80 C82:C88 B105:B108</xm:sqref>
        </x14:dataValidation>
        <x14:dataValidation type="list" allowBlank="1" showInputMessage="1" showErrorMessage="1" xr:uid="{00000000-0002-0000-0100-000012000000}">
          <x14:formula1>
            <xm:f>'C:\Users\eclavijo\AppData\Local\Microsoft\Windows\INetCache\Content.Outlook\S1B3GWE2\[Plantilla Plan de Contratacion_ajuste POAI_julio.xlsx]LISTAS'!#REF!</xm:f>
          </x14:formula1>
          <xm:sqref>F57:F58 B186 H63 F63 H81 H90 F81 H39 H196 H103:H104 H101 H237 H92:H93 H107:H109 F90:F92 H70 B109:B110 B70 F70 F94:F110 H96:H99 M102:M109 F186 H57</xm:sqref>
        </x14:dataValidation>
        <x14:dataValidation type="list" allowBlank="1" showInputMessage="1" showErrorMessage="1" xr:uid="{00000000-0002-0000-0100-000013000000}">
          <x14:formula1>
            <xm:f>'https://regioncentral-my.sharepoint.com/personal/eclavijo_regioncentralrape_gov_co/Documents/Edwin Clavijo/Plan de Contratacion/Plan de contratación/[F-M-GC.01-15 Plan de Adquisicion Versión 8.xlsx]LISTAS'!#REF!</xm:f>
          </x14:formula1>
          <xm:sqref>H7</xm:sqref>
        </x14:dataValidation>
        <x14:dataValidation type="list" allowBlank="1" showInputMessage="1" showErrorMessage="1" xr:uid="{802B8F46-9517-4D6A-879F-BB8FBA64B88E}">
          <x14:formula1>
            <xm:f>'F:\[plan anual de Adquisiciones Paramos Julio 31.xlsx]LISTAS'!#REF!</xm:f>
          </x14:formula1>
          <xm:sqref>H281:I288</xm:sqref>
        </x14:dataValidation>
        <x14:dataValidation type="list" allowBlank="1" showInputMessage="1" showErrorMessage="1" xr:uid="{9121BCC1-5EF1-4336-BA98-E5E17628BEF6}">
          <x14:formula1>
            <xm:f>'C:\Users\pcardenas\AppData\Local\Microsoft\Windows\INetCache\Content.Outlook\508HJFNX\[Plan Anual de Adquisiciones PARAMOS  Julio 18 (002).xlsx]LISTAS'!#REF!</xm:f>
          </x14:formula1>
          <xm:sqref>H250:I250 H252:I280 I289:I304 H289:H300 H303:H304 H306 I307</xm:sqref>
        </x14:dataValidation>
        <x14:dataValidation type="list" allowBlank="1" showInputMessage="1" showErrorMessage="1" xr:uid="{90D74678-40B8-4DD0-B50D-7A8DFEC3F31C}">
          <x14:formula1>
            <xm:f>'https://regioncentral-my.sharepoint.com/personal/eclavijo_regioncentralrape_gov_co/Documents/Edwin Clavijo/Plan de Contratacion/Plan de contratación/Paramos/[Copia de plan anual de adquisiciones version 1.3 26.09.2017.xlsx]LISTAS'!#REF!</xm:f>
          </x14:formula1>
          <xm:sqref>H305:I305</xm:sqref>
        </x14:dataValidation>
        <x14:dataValidation type="list" allowBlank="1" showInputMessage="1" showErrorMessage="1" xr:uid="{D85FD472-448E-4401-AF87-8C6DAE4090A6}">
          <x14:formula1>
            <xm:f>'C:\Users\eclavijo\OneDrive - Región Administrativa y de Planeación Especial RAPE\Edwin Clavijo\Plan de Contratacion\Plan de contratación\Paramos\[Plan Anual de Adquisiciones PARAMOS  Version 1.1.xlsx]LISTAS'!#REF!</xm:f>
          </x14:formula1>
          <xm:sqref>I306</xm:sqref>
        </x14:dataValidation>
        <x14:dataValidation type="list" allowBlank="1" showInputMessage="1" showErrorMessage="1" xr:uid="{75EB1762-5153-4D0B-B6EF-ABFDFADAF2A6}">
          <x14:formula1>
            <xm:f>'C:\Users\eclavijo\AppData\Local\Microsoft\Windows\INetCache\Content.Outlook\S1B3GWE2\[PLAN DE CONTRATACION RAPE 2017_Version 13 para publicar.xlsx]LISTAS'!#REF!</xm:f>
          </x14:formula1>
          <xm:sqref>M70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D9F0-A0ED-475A-BD20-3B4FC4398A71}">
  <dimension ref="A2:H33"/>
  <sheetViews>
    <sheetView view="pageBreakPreview" zoomScale="60" zoomScaleNormal="100" workbookViewId="0">
      <selection activeCell="F22" sqref="F22"/>
    </sheetView>
  </sheetViews>
  <sheetFormatPr baseColWidth="10" defaultRowHeight="15" x14ac:dyDescent="0.25"/>
  <cols>
    <col min="1" max="1" width="24.140625" customWidth="1"/>
    <col min="2" max="2" width="17.140625" style="7" customWidth="1"/>
    <col min="3" max="3" width="18.5703125" style="7" customWidth="1"/>
    <col min="4" max="4" width="17.5703125" style="7" customWidth="1"/>
    <col min="5" max="5" width="15.28515625" style="8" customWidth="1"/>
    <col min="6" max="6" width="84.28515625" style="7" customWidth="1"/>
    <col min="7" max="7" width="21.5703125" style="6" customWidth="1"/>
    <col min="8" max="8" width="11.42578125" style="8"/>
  </cols>
  <sheetData>
    <row r="2" spans="1:8" ht="42" customHeight="1" thickBot="1" x14ac:dyDescent="0.3">
      <c r="A2" s="521" t="s">
        <v>702</v>
      </c>
      <c r="B2" s="522"/>
      <c r="C2" s="522"/>
      <c r="D2" s="522"/>
      <c r="E2" s="522"/>
      <c r="F2" s="522"/>
      <c r="G2" s="522"/>
      <c r="H2" s="522"/>
    </row>
    <row r="3" spans="1:8" ht="60.75" customHeight="1" thickTop="1" x14ac:dyDescent="0.25">
      <c r="A3" s="439" t="s">
        <v>39</v>
      </c>
      <c r="B3" s="440" t="s">
        <v>368</v>
      </c>
      <c r="C3" s="440" t="s">
        <v>115</v>
      </c>
      <c r="D3" s="440" t="s">
        <v>339</v>
      </c>
      <c r="E3" s="440" t="s">
        <v>2</v>
      </c>
      <c r="F3" s="440" t="s">
        <v>119</v>
      </c>
      <c r="G3" s="441" t="s">
        <v>120</v>
      </c>
      <c r="H3" s="442" t="s">
        <v>440</v>
      </c>
    </row>
    <row r="4" spans="1:8" ht="72.75" customHeight="1" x14ac:dyDescent="0.25">
      <c r="A4" s="515"/>
      <c r="B4" s="518" t="s">
        <v>370</v>
      </c>
      <c r="C4" s="448" t="s">
        <v>112</v>
      </c>
      <c r="D4" s="449" t="s">
        <v>133</v>
      </c>
      <c r="E4" s="450">
        <v>147</v>
      </c>
      <c r="F4" s="449" t="s">
        <v>656</v>
      </c>
      <c r="G4" s="451">
        <v>7000000</v>
      </c>
      <c r="H4" s="452">
        <v>1</v>
      </c>
    </row>
    <row r="5" spans="1:8" ht="91.5" customHeight="1" x14ac:dyDescent="0.25">
      <c r="A5" s="516"/>
      <c r="B5" s="519"/>
      <c r="C5" s="448" t="s">
        <v>112</v>
      </c>
      <c r="D5" s="449" t="s">
        <v>133</v>
      </c>
      <c r="E5" s="450">
        <v>160</v>
      </c>
      <c r="F5" s="449" t="s">
        <v>699</v>
      </c>
      <c r="G5" s="451">
        <v>4800000</v>
      </c>
      <c r="H5" s="452">
        <v>1</v>
      </c>
    </row>
    <row r="6" spans="1:8" ht="82.5" customHeight="1" x14ac:dyDescent="0.25">
      <c r="A6" s="516"/>
      <c r="B6" s="519"/>
      <c r="C6" s="448" t="s">
        <v>112</v>
      </c>
      <c r="D6" s="449" t="s">
        <v>397</v>
      </c>
      <c r="E6" s="450">
        <v>173</v>
      </c>
      <c r="F6" s="449" t="s">
        <v>682</v>
      </c>
      <c r="G6" s="451">
        <v>7200000</v>
      </c>
      <c r="H6" s="452">
        <v>1</v>
      </c>
    </row>
    <row r="7" spans="1:8" ht="65.25" customHeight="1" x14ac:dyDescent="0.25">
      <c r="A7" s="517"/>
      <c r="B7" s="520"/>
      <c r="C7" s="448" t="s">
        <v>112</v>
      </c>
      <c r="D7" s="449" t="s">
        <v>308</v>
      </c>
      <c r="E7" s="450">
        <v>149</v>
      </c>
      <c r="F7" s="449" t="s">
        <v>683</v>
      </c>
      <c r="G7" s="451">
        <v>73000000</v>
      </c>
      <c r="H7" s="452">
        <v>1</v>
      </c>
    </row>
    <row r="8" spans="1:8" x14ac:dyDescent="0.25">
      <c r="A8" s="443" t="s">
        <v>431</v>
      </c>
      <c r="B8" s="436"/>
      <c r="C8" s="436"/>
      <c r="D8" s="436"/>
      <c r="E8" s="437"/>
      <c r="F8" s="436"/>
      <c r="G8" s="438">
        <f>SUM(G4:G7)</f>
        <v>92000000</v>
      </c>
      <c r="H8" s="444">
        <f>SUM(H4:H7)</f>
        <v>4</v>
      </c>
    </row>
    <row r="9" spans="1:8" ht="30" x14ac:dyDescent="0.25">
      <c r="A9" s="515" t="s">
        <v>5</v>
      </c>
      <c r="B9" s="518" t="s">
        <v>374</v>
      </c>
      <c r="C9" s="448" t="s">
        <v>109</v>
      </c>
      <c r="D9" s="449" t="s">
        <v>308</v>
      </c>
      <c r="E9" s="450">
        <v>246</v>
      </c>
      <c r="F9" s="449" t="s">
        <v>644</v>
      </c>
      <c r="G9" s="451">
        <v>5878712</v>
      </c>
      <c r="H9" s="452">
        <v>1</v>
      </c>
    </row>
    <row r="10" spans="1:8" ht="30" x14ac:dyDescent="0.25">
      <c r="A10" s="516"/>
      <c r="B10" s="519"/>
      <c r="C10" s="448" t="s">
        <v>70</v>
      </c>
      <c r="D10" s="449" t="s">
        <v>389</v>
      </c>
      <c r="E10" s="450">
        <v>167</v>
      </c>
      <c r="F10" s="449" t="s">
        <v>352</v>
      </c>
      <c r="G10" s="451">
        <v>20000000</v>
      </c>
      <c r="H10" s="452">
        <v>1</v>
      </c>
    </row>
    <row r="11" spans="1:8" ht="45" x14ac:dyDescent="0.25">
      <c r="A11" s="516"/>
      <c r="B11" s="519"/>
      <c r="C11" s="448" t="s">
        <v>113</v>
      </c>
      <c r="D11" s="449" t="s">
        <v>389</v>
      </c>
      <c r="E11" s="450">
        <v>58</v>
      </c>
      <c r="F11" s="449" t="s">
        <v>71</v>
      </c>
      <c r="G11" s="451">
        <v>72752238</v>
      </c>
      <c r="H11" s="452">
        <v>1</v>
      </c>
    </row>
    <row r="12" spans="1:8" ht="45" x14ac:dyDescent="0.25">
      <c r="A12" s="516"/>
      <c r="B12" s="520"/>
      <c r="C12" s="448" t="s">
        <v>113</v>
      </c>
      <c r="D12" s="449" t="s">
        <v>308</v>
      </c>
      <c r="E12" s="450">
        <v>57</v>
      </c>
      <c r="F12" s="449" t="s">
        <v>69</v>
      </c>
      <c r="G12" s="451">
        <v>12000000</v>
      </c>
      <c r="H12" s="452">
        <v>1</v>
      </c>
    </row>
    <row r="13" spans="1:8" ht="30" x14ac:dyDescent="0.25">
      <c r="A13" s="516"/>
      <c r="B13" s="518" t="s">
        <v>370</v>
      </c>
      <c r="C13" s="448" t="s">
        <v>109</v>
      </c>
      <c r="D13" s="449" t="s">
        <v>308</v>
      </c>
      <c r="E13" s="450">
        <v>244</v>
      </c>
      <c r="F13" s="449" t="s">
        <v>583</v>
      </c>
      <c r="G13" s="451">
        <v>38000000</v>
      </c>
      <c r="H13" s="452">
        <v>1</v>
      </c>
    </row>
    <row r="14" spans="1:8" ht="30" x14ac:dyDescent="0.25">
      <c r="A14" s="516"/>
      <c r="B14" s="519"/>
      <c r="C14" s="448" t="s">
        <v>112</v>
      </c>
      <c r="D14" s="449" t="s">
        <v>133</v>
      </c>
      <c r="E14" s="450">
        <v>52</v>
      </c>
      <c r="F14" s="449" t="s">
        <v>695</v>
      </c>
      <c r="G14" s="451">
        <v>736667</v>
      </c>
      <c r="H14" s="452">
        <v>1</v>
      </c>
    </row>
    <row r="15" spans="1:8" ht="60" x14ac:dyDescent="0.25">
      <c r="A15" s="516"/>
      <c r="B15" s="519"/>
      <c r="C15" s="448" t="s">
        <v>112</v>
      </c>
      <c r="D15" s="449" t="s">
        <v>133</v>
      </c>
      <c r="E15" s="450">
        <v>123</v>
      </c>
      <c r="F15" s="449" t="s">
        <v>674</v>
      </c>
      <c r="G15" s="451">
        <v>4000000</v>
      </c>
      <c r="H15" s="452">
        <v>1</v>
      </c>
    </row>
    <row r="16" spans="1:8" ht="45" x14ac:dyDescent="0.25">
      <c r="A16" s="516"/>
      <c r="B16" s="519"/>
      <c r="C16" s="448" t="s">
        <v>112</v>
      </c>
      <c r="D16" s="449" t="s">
        <v>308</v>
      </c>
      <c r="E16" s="450">
        <v>168</v>
      </c>
      <c r="F16" s="449" t="s">
        <v>387</v>
      </c>
      <c r="G16" s="451">
        <v>6593200</v>
      </c>
      <c r="H16" s="452">
        <v>1</v>
      </c>
    </row>
    <row r="17" spans="1:8" ht="45" x14ac:dyDescent="0.25">
      <c r="A17" s="516"/>
      <c r="B17" s="519"/>
      <c r="C17" s="448" t="s">
        <v>112</v>
      </c>
      <c r="D17" s="449" t="s">
        <v>308</v>
      </c>
      <c r="E17" s="450">
        <v>162</v>
      </c>
      <c r="F17" s="449" t="s">
        <v>676</v>
      </c>
      <c r="G17" s="451">
        <v>6400445</v>
      </c>
      <c r="H17" s="452">
        <v>1</v>
      </c>
    </row>
    <row r="18" spans="1:8" ht="45" x14ac:dyDescent="0.25">
      <c r="A18" s="516"/>
      <c r="B18" s="519"/>
      <c r="C18" s="448" t="s">
        <v>60</v>
      </c>
      <c r="D18" s="449" t="s">
        <v>133</v>
      </c>
      <c r="E18" s="450">
        <v>161</v>
      </c>
      <c r="F18" s="449" t="s">
        <v>678</v>
      </c>
      <c r="G18" s="451">
        <v>8000000</v>
      </c>
      <c r="H18" s="452">
        <v>1</v>
      </c>
    </row>
    <row r="19" spans="1:8" ht="30" x14ac:dyDescent="0.25">
      <c r="A19" s="517"/>
      <c r="B19" s="520"/>
      <c r="C19" s="448" t="s">
        <v>70</v>
      </c>
      <c r="D19" s="449" t="s">
        <v>308</v>
      </c>
      <c r="E19" s="450">
        <v>179</v>
      </c>
      <c r="F19" s="449" t="s">
        <v>380</v>
      </c>
      <c r="G19" s="451">
        <v>15000000</v>
      </c>
      <c r="H19" s="452">
        <v>1</v>
      </c>
    </row>
    <row r="20" spans="1:8" x14ac:dyDescent="0.25">
      <c r="A20" s="443" t="s">
        <v>432</v>
      </c>
      <c r="B20" s="436"/>
      <c r="C20" s="436"/>
      <c r="D20" s="436"/>
      <c r="E20" s="437"/>
      <c r="F20" s="436"/>
      <c r="G20" s="438">
        <f>SUM(G9:G19)</f>
        <v>189361262</v>
      </c>
      <c r="H20" s="444">
        <f>SUM(H9:H19)</f>
        <v>11</v>
      </c>
    </row>
    <row r="21" spans="1:8" ht="30" x14ac:dyDescent="0.25">
      <c r="A21" s="515" t="s">
        <v>3</v>
      </c>
      <c r="B21" s="449" t="s">
        <v>374</v>
      </c>
      <c r="C21" s="448" t="s">
        <v>110</v>
      </c>
      <c r="D21" s="449" t="s">
        <v>295</v>
      </c>
      <c r="E21" s="450">
        <v>141</v>
      </c>
      <c r="F21" s="449" t="s">
        <v>309</v>
      </c>
      <c r="G21" s="451">
        <v>456572072</v>
      </c>
      <c r="H21" s="452">
        <v>1</v>
      </c>
    </row>
    <row r="22" spans="1:8" ht="30" x14ac:dyDescent="0.25">
      <c r="A22" s="516"/>
      <c r="B22" s="518" t="s">
        <v>370</v>
      </c>
      <c r="C22" s="448" t="s">
        <v>112</v>
      </c>
      <c r="D22" s="449" t="s">
        <v>299</v>
      </c>
      <c r="E22" s="450">
        <v>13</v>
      </c>
      <c r="F22" s="449" t="s">
        <v>659</v>
      </c>
      <c r="G22" s="451">
        <v>300000000</v>
      </c>
      <c r="H22" s="452">
        <v>1</v>
      </c>
    </row>
    <row r="23" spans="1:8" ht="45" x14ac:dyDescent="0.25">
      <c r="A23" s="516"/>
      <c r="B23" s="519"/>
      <c r="C23" s="448" t="s">
        <v>112</v>
      </c>
      <c r="D23" s="449" t="s">
        <v>133</v>
      </c>
      <c r="E23" s="450">
        <v>135</v>
      </c>
      <c r="F23" s="449" t="s">
        <v>653</v>
      </c>
      <c r="G23" s="451">
        <v>3850000</v>
      </c>
      <c r="H23" s="452">
        <v>1</v>
      </c>
    </row>
    <row r="24" spans="1:8" ht="45" x14ac:dyDescent="0.25">
      <c r="A24" s="517"/>
      <c r="B24" s="520"/>
      <c r="C24" s="448" t="s">
        <v>112</v>
      </c>
      <c r="D24" s="449" t="s">
        <v>133</v>
      </c>
      <c r="E24" s="450">
        <v>136</v>
      </c>
      <c r="F24" s="449" t="s">
        <v>651</v>
      </c>
      <c r="G24" s="451">
        <v>3083333</v>
      </c>
      <c r="H24" s="452">
        <v>1</v>
      </c>
    </row>
    <row r="25" spans="1:8" x14ac:dyDescent="0.25">
      <c r="A25" s="443" t="s">
        <v>436</v>
      </c>
      <c r="B25" s="436"/>
      <c r="C25" s="436"/>
      <c r="D25" s="436"/>
      <c r="E25" s="437"/>
      <c r="F25" s="436"/>
      <c r="G25" s="438">
        <f>SUM(G21:G24)</f>
        <v>763505405</v>
      </c>
      <c r="H25" s="444">
        <f>SUM(H21:H24)</f>
        <v>4</v>
      </c>
    </row>
    <row r="26" spans="1:8" ht="60" x14ac:dyDescent="0.25">
      <c r="A26" s="515" t="s">
        <v>19</v>
      </c>
      <c r="B26" s="518" t="s">
        <v>374</v>
      </c>
      <c r="C26" s="448" t="s">
        <v>112</v>
      </c>
      <c r="D26" s="449" t="s">
        <v>389</v>
      </c>
      <c r="E26" s="450">
        <v>144</v>
      </c>
      <c r="F26" s="449" t="s">
        <v>661</v>
      </c>
      <c r="G26" s="451">
        <v>21830134</v>
      </c>
      <c r="H26" s="452">
        <v>1</v>
      </c>
    </row>
    <row r="27" spans="1:8" ht="51" customHeight="1" x14ac:dyDescent="0.25">
      <c r="A27" s="516"/>
      <c r="B27" s="519"/>
      <c r="C27" s="448" t="s">
        <v>60</v>
      </c>
      <c r="D27" s="449" t="s">
        <v>133</v>
      </c>
      <c r="E27" s="450">
        <v>129</v>
      </c>
      <c r="F27" s="449" t="s">
        <v>292</v>
      </c>
      <c r="G27" s="451">
        <v>16500000</v>
      </c>
      <c r="H27" s="452">
        <v>1</v>
      </c>
    </row>
    <row r="28" spans="1:8" ht="52.5" customHeight="1" x14ac:dyDescent="0.25">
      <c r="A28" s="516"/>
      <c r="B28" s="520"/>
      <c r="C28" s="448" t="s">
        <v>319</v>
      </c>
      <c r="D28" s="449" t="s">
        <v>308</v>
      </c>
      <c r="E28" s="450">
        <v>132</v>
      </c>
      <c r="F28" s="449" t="s">
        <v>354</v>
      </c>
      <c r="G28" s="451">
        <v>250000000</v>
      </c>
      <c r="H28" s="452">
        <v>1</v>
      </c>
    </row>
    <row r="29" spans="1:8" ht="77.25" customHeight="1" x14ac:dyDescent="0.25">
      <c r="A29" s="516"/>
      <c r="B29" s="518" t="s">
        <v>370</v>
      </c>
      <c r="C29" s="448" t="s">
        <v>112</v>
      </c>
      <c r="D29" s="449" t="s">
        <v>133</v>
      </c>
      <c r="E29" s="450">
        <v>92</v>
      </c>
      <c r="F29" s="449" t="s">
        <v>296</v>
      </c>
      <c r="G29" s="451">
        <v>9000000</v>
      </c>
      <c r="H29" s="452">
        <v>1</v>
      </c>
    </row>
    <row r="30" spans="1:8" ht="99" customHeight="1" x14ac:dyDescent="0.25">
      <c r="A30" s="517"/>
      <c r="B30" s="520"/>
      <c r="C30" s="448" t="s">
        <v>112</v>
      </c>
      <c r="D30" s="449" t="s">
        <v>133</v>
      </c>
      <c r="E30" s="450">
        <v>93</v>
      </c>
      <c r="F30" s="449" t="s">
        <v>645</v>
      </c>
      <c r="G30" s="451">
        <v>1906667</v>
      </c>
      <c r="H30" s="452">
        <v>1</v>
      </c>
    </row>
    <row r="31" spans="1:8" x14ac:dyDescent="0.25">
      <c r="A31" s="443" t="s">
        <v>437</v>
      </c>
      <c r="B31" s="436"/>
      <c r="C31" s="436"/>
      <c r="D31" s="436"/>
      <c r="E31" s="437"/>
      <c r="F31" s="436"/>
      <c r="G31" s="438">
        <f>SUM(G26:G30)</f>
        <v>299236801</v>
      </c>
      <c r="H31" s="444">
        <f>SUM(H26:H30)</f>
        <v>5</v>
      </c>
    </row>
    <row r="32" spans="1:8" ht="15.75" thickBot="1" x14ac:dyDescent="0.3">
      <c r="A32" s="445" t="s">
        <v>364</v>
      </c>
      <c r="B32" s="446"/>
      <c r="C32" s="446"/>
      <c r="D32" s="446"/>
      <c r="E32" s="446"/>
      <c r="F32" s="446"/>
      <c r="G32" s="453">
        <f>+G31+G25+G20+G8</f>
        <v>1344103468</v>
      </c>
      <c r="H32" s="447">
        <f>+H31+H25+H20+H8</f>
        <v>24</v>
      </c>
    </row>
    <row r="33" spans="7:7" ht="15.75" thickTop="1" x14ac:dyDescent="0.25">
      <c r="G33" s="454"/>
    </row>
  </sheetData>
  <mergeCells count="11">
    <mergeCell ref="A26:A30"/>
    <mergeCell ref="B26:B28"/>
    <mergeCell ref="B29:B30"/>
    <mergeCell ref="A2:H2"/>
    <mergeCell ref="A4:A7"/>
    <mergeCell ref="B4:B7"/>
    <mergeCell ref="A9:A19"/>
    <mergeCell ref="B9:B12"/>
    <mergeCell ref="B13:B19"/>
    <mergeCell ref="A21:A24"/>
    <mergeCell ref="B22:B24"/>
  </mergeCells>
  <pageMargins left="0.70866141732283472" right="0.70866141732283472" top="0.74803149606299213" bottom="0.74803149606299213" header="0.31496062992125984" footer="0.31496062992125984"/>
  <pageSetup scale="56" orientation="landscape" horizontalDpi="1200" verticalDpi="1200"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BF70-F172-448D-AA81-1E449E4570FB}">
  <dimension ref="A1:H283"/>
  <sheetViews>
    <sheetView showGridLines="0" view="pageBreakPreview" zoomScaleNormal="85" zoomScaleSheetLayoutView="100" workbookViewId="0">
      <selection activeCell="F13" sqref="F13"/>
    </sheetView>
  </sheetViews>
  <sheetFormatPr baseColWidth="10" defaultRowHeight="15.75" x14ac:dyDescent="0.25"/>
  <cols>
    <col min="1" max="1" width="27.7109375" style="472" customWidth="1"/>
    <col min="2" max="2" width="14.5703125" style="472" customWidth="1"/>
    <col min="3" max="3" width="19.28515625" style="467" customWidth="1"/>
    <col min="4" max="4" width="12.7109375" style="472" customWidth="1"/>
    <col min="5" max="5" width="23.85546875" style="469" customWidth="1"/>
    <col min="6" max="6" width="100" style="469" customWidth="1"/>
    <col min="7" max="7" width="21" style="470" bestFit="1" customWidth="1"/>
    <col min="8" max="8" width="6" style="472" bestFit="1" customWidth="1"/>
    <col min="9" max="9" width="12.5703125" style="464" bestFit="1" customWidth="1"/>
    <col min="10" max="20" width="11" style="464" bestFit="1" customWidth="1"/>
    <col min="21" max="22" width="12.5703125" style="464" bestFit="1" customWidth="1"/>
    <col min="23" max="23" width="16.28515625" style="464" bestFit="1" customWidth="1"/>
    <col min="24" max="24" width="22.5703125" style="464" bestFit="1" customWidth="1"/>
    <col min="25" max="25" width="16.28515625" style="464" bestFit="1" customWidth="1"/>
    <col min="26" max="26" width="22.5703125" style="464" bestFit="1" customWidth="1"/>
    <col min="27" max="27" width="16.28515625" style="464" bestFit="1" customWidth="1"/>
    <col min="28" max="28" width="27.5703125" style="464" bestFit="1" customWidth="1"/>
    <col min="29" max="29" width="21.28515625" style="464" bestFit="1" customWidth="1"/>
    <col min="30" max="30" width="9.7109375" style="464" bestFit="1" customWidth="1"/>
    <col min="31" max="31" width="10.7109375" style="464" bestFit="1" customWidth="1"/>
    <col min="32" max="32" width="9.7109375" style="464" bestFit="1" customWidth="1"/>
    <col min="33" max="42" width="10.7109375" style="464" bestFit="1" customWidth="1"/>
    <col min="43" max="44" width="9.7109375" style="464" bestFit="1" customWidth="1"/>
    <col min="45" max="46" width="10.7109375" style="464" bestFit="1" customWidth="1"/>
    <col min="47" max="49" width="9.7109375" style="464" bestFit="1" customWidth="1"/>
    <col min="50" max="57" width="10.7109375" style="464" bestFit="1" customWidth="1"/>
    <col min="58" max="59" width="9.7109375" style="464" bestFit="1" customWidth="1"/>
    <col min="60" max="61" width="10.7109375" style="464" bestFit="1" customWidth="1"/>
    <col min="62" max="63" width="9.7109375" style="464" bestFit="1" customWidth="1"/>
    <col min="64" max="64" width="11" style="464" bestFit="1" customWidth="1"/>
    <col min="65" max="65" width="12.5703125" style="464" bestFit="1" customWidth="1"/>
    <col min="66" max="16384" width="11.42578125" style="464"/>
  </cols>
  <sheetData>
    <row r="1" spans="1:8" ht="45" customHeight="1" x14ac:dyDescent="0.25">
      <c r="A1" s="523" t="s">
        <v>720</v>
      </c>
      <c r="B1" s="523"/>
      <c r="C1" s="523"/>
      <c r="D1" s="523"/>
      <c r="E1" s="523"/>
      <c r="F1" s="523"/>
      <c r="G1" s="523"/>
      <c r="H1" s="523"/>
    </row>
    <row r="2" spans="1:8" x14ac:dyDescent="0.25">
      <c r="A2" s="473" t="s">
        <v>122</v>
      </c>
      <c r="B2" s="472" t="s">
        <v>701</v>
      </c>
      <c r="D2" s="468"/>
    </row>
    <row r="3" spans="1:8" x14ac:dyDescent="0.25">
      <c r="E3" s="472"/>
      <c r="F3" s="467"/>
    </row>
    <row r="4" spans="1:8" x14ac:dyDescent="0.25">
      <c r="A4" s="473" t="s">
        <v>365</v>
      </c>
      <c r="C4" s="472"/>
      <c r="E4" s="472"/>
      <c r="F4" s="472"/>
      <c r="G4" s="472"/>
    </row>
    <row r="5" spans="1:8" ht="31.5" x14ac:dyDescent="0.25">
      <c r="A5" s="473" t="s">
        <v>39</v>
      </c>
      <c r="B5" s="473" t="s">
        <v>368</v>
      </c>
      <c r="C5" s="473" t="s">
        <v>115</v>
      </c>
      <c r="D5" s="473" t="s">
        <v>339</v>
      </c>
      <c r="E5" s="473" t="s">
        <v>2</v>
      </c>
      <c r="F5" s="473" t="s">
        <v>119</v>
      </c>
      <c r="G5" s="473" t="s">
        <v>120</v>
      </c>
      <c r="H5" s="472" t="s">
        <v>440</v>
      </c>
    </row>
    <row r="6" spans="1:8" ht="47.25" x14ac:dyDescent="0.25">
      <c r="A6" s="472" t="s">
        <v>1</v>
      </c>
      <c r="B6" s="474" t="s">
        <v>370</v>
      </c>
      <c r="C6" s="474" t="s">
        <v>60</v>
      </c>
      <c r="D6" s="474" t="s">
        <v>133</v>
      </c>
      <c r="E6" s="474">
        <v>147</v>
      </c>
      <c r="F6" s="474" t="s">
        <v>656</v>
      </c>
      <c r="G6" s="474">
        <v>7000000</v>
      </c>
      <c r="H6" s="482">
        <v>1</v>
      </c>
    </row>
    <row r="7" spans="1:8" ht="47.25" x14ac:dyDescent="0.25">
      <c r="B7" s="474"/>
      <c r="C7" s="474" t="s">
        <v>112</v>
      </c>
      <c r="D7" s="474" t="s">
        <v>397</v>
      </c>
      <c r="E7" s="474">
        <v>173</v>
      </c>
      <c r="F7" s="474" t="s">
        <v>682</v>
      </c>
      <c r="G7" s="474">
        <v>7200000</v>
      </c>
      <c r="H7" s="482">
        <v>1</v>
      </c>
    </row>
    <row r="8" spans="1:8" ht="47.25" x14ac:dyDescent="0.25">
      <c r="B8" s="474"/>
      <c r="C8" s="474"/>
      <c r="D8" s="474" t="s">
        <v>308</v>
      </c>
      <c r="E8" s="474">
        <v>149</v>
      </c>
      <c r="F8" s="474" t="s">
        <v>683</v>
      </c>
      <c r="G8" s="474">
        <v>73000000</v>
      </c>
      <c r="H8" s="482">
        <v>1</v>
      </c>
    </row>
    <row r="9" spans="1:8" ht="31.5" x14ac:dyDescent="0.25">
      <c r="A9" s="472" t="s">
        <v>431</v>
      </c>
      <c r="C9" s="472"/>
      <c r="E9" s="472"/>
      <c r="F9" s="472"/>
      <c r="G9" s="472"/>
      <c r="H9" s="483">
        <v>3</v>
      </c>
    </row>
    <row r="10" spans="1:8" ht="31.5" x14ac:dyDescent="0.25">
      <c r="A10" s="472" t="s">
        <v>5</v>
      </c>
      <c r="B10" s="474" t="s">
        <v>374</v>
      </c>
      <c r="C10" s="474" t="s">
        <v>109</v>
      </c>
      <c r="D10" s="474" t="s">
        <v>308</v>
      </c>
      <c r="E10" s="474">
        <v>246</v>
      </c>
      <c r="F10" s="474" t="s">
        <v>644</v>
      </c>
      <c r="G10" s="474">
        <v>5878712</v>
      </c>
      <c r="H10" s="482">
        <v>1</v>
      </c>
    </row>
    <row r="11" spans="1:8" ht="47.25" x14ac:dyDescent="0.25">
      <c r="B11" s="474"/>
      <c r="C11" s="472" t="s">
        <v>60</v>
      </c>
      <c r="D11" s="472" t="s">
        <v>133</v>
      </c>
      <c r="E11" s="472">
        <v>161</v>
      </c>
      <c r="F11" s="472" t="s">
        <v>678</v>
      </c>
      <c r="G11" s="472">
        <v>8000000</v>
      </c>
      <c r="H11" s="482">
        <v>1</v>
      </c>
    </row>
    <row r="12" spans="1:8" ht="28.5" customHeight="1" x14ac:dyDescent="0.25">
      <c r="B12" s="474"/>
      <c r="C12" s="474" t="s">
        <v>70</v>
      </c>
      <c r="D12" s="474" t="s">
        <v>389</v>
      </c>
      <c r="E12" s="474">
        <v>167</v>
      </c>
      <c r="F12" s="474" t="s">
        <v>352</v>
      </c>
      <c r="G12" s="474">
        <v>20000000</v>
      </c>
      <c r="H12" s="482">
        <v>1</v>
      </c>
    </row>
    <row r="13" spans="1:8" ht="47.25" x14ac:dyDescent="0.25">
      <c r="B13" s="474"/>
      <c r="C13" s="474" t="s">
        <v>113</v>
      </c>
      <c r="D13" s="474" t="s">
        <v>308</v>
      </c>
      <c r="E13" s="474">
        <v>57</v>
      </c>
      <c r="F13" s="474" t="s">
        <v>69</v>
      </c>
      <c r="G13" s="474">
        <v>12000000</v>
      </c>
      <c r="H13" s="482">
        <v>1</v>
      </c>
    </row>
    <row r="14" spans="1:8" ht="31.5" x14ac:dyDescent="0.25">
      <c r="B14" s="474" t="s">
        <v>370</v>
      </c>
      <c r="C14" s="474" t="s">
        <v>109</v>
      </c>
      <c r="D14" s="472" t="s">
        <v>308</v>
      </c>
      <c r="E14" s="474">
        <v>244</v>
      </c>
      <c r="F14" s="474" t="s">
        <v>583</v>
      </c>
      <c r="G14" s="474">
        <v>38000000</v>
      </c>
      <c r="H14" s="482">
        <v>1</v>
      </c>
    </row>
    <row r="15" spans="1:8" ht="31.5" x14ac:dyDescent="0.25">
      <c r="B15" s="474"/>
      <c r="C15" s="474" t="s">
        <v>60</v>
      </c>
      <c r="D15" s="474" t="s">
        <v>133</v>
      </c>
      <c r="E15" s="474">
        <v>52</v>
      </c>
      <c r="F15" s="474" t="s">
        <v>695</v>
      </c>
      <c r="G15" s="474">
        <v>736667</v>
      </c>
      <c r="H15" s="482">
        <v>1</v>
      </c>
    </row>
    <row r="16" spans="1:8" ht="31.5" x14ac:dyDescent="0.25">
      <c r="B16" s="474"/>
      <c r="C16" s="474" t="s">
        <v>70</v>
      </c>
      <c r="D16" s="477" t="s">
        <v>308</v>
      </c>
      <c r="E16" s="474">
        <v>179</v>
      </c>
      <c r="F16" s="474" t="s">
        <v>380</v>
      </c>
      <c r="G16" s="474">
        <v>15000000</v>
      </c>
      <c r="H16" s="482">
        <v>1</v>
      </c>
    </row>
    <row r="17" spans="1:8" ht="31.5" x14ac:dyDescent="0.25">
      <c r="A17" s="472" t="s">
        <v>432</v>
      </c>
      <c r="C17" s="472"/>
      <c r="E17" s="472"/>
      <c r="F17" s="472"/>
      <c r="G17" s="472"/>
      <c r="H17" s="483">
        <v>7</v>
      </c>
    </row>
    <row r="18" spans="1:8" ht="31.5" x14ac:dyDescent="0.25">
      <c r="A18" s="472" t="s">
        <v>3</v>
      </c>
      <c r="B18" s="474" t="s">
        <v>374</v>
      </c>
      <c r="C18" s="474" t="s">
        <v>110</v>
      </c>
      <c r="D18" s="474" t="s">
        <v>295</v>
      </c>
      <c r="E18" s="474">
        <v>141</v>
      </c>
      <c r="F18" s="474" t="s">
        <v>309</v>
      </c>
      <c r="G18" s="474">
        <v>456572072</v>
      </c>
      <c r="H18" s="482">
        <v>1</v>
      </c>
    </row>
    <row r="19" spans="1:8" ht="31.5" x14ac:dyDescent="0.25">
      <c r="B19" s="474" t="s">
        <v>370</v>
      </c>
      <c r="C19" s="474" t="s">
        <v>60</v>
      </c>
      <c r="D19" s="474" t="s">
        <v>299</v>
      </c>
      <c r="E19" s="474">
        <v>13</v>
      </c>
      <c r="F19" s="474" t="s">
        <v>659</v>
      </c>
      <c r="G19" s="474">
        <v>300000000</v>
      </c>
      <c r="H19" s="482">
        <v>1</v>
      </c>
    </row>
    <row r="20" spans="1:8" ht="47.25" x14ac:dyDescent="0.25">
      <c r="A20" s="472" t="s">
        <v>436</v>
      </c>
      <c r="C20" s="472"/>
      <c r="E20" s="472"/>
      <c r="F20" s="472"/>
      <c r="G20" s="472"/>
      <c r="H20" s="483">
        <v>2</v>
      </c>
    </row>
    <row r="21" spans="1:8" ht="31.5" x14ac:dyDescent="0.25">
      <c r="A21" s="472" t="s">
        <v>36</v>
      </c>
      <c r="B21" s="474" t="s">
        <v>374</v>
      </c>
      <c r="C21" s="474" t="s">
        <v>109</v>
      </c>
      <c r="D21" s="474" t="s">
        <v>389</v>
      </c>
      <c r="E21" s="474">
        <v>68</v>
      </c>
      <c r="F21" s="474" t="s">
        <v>79</v>
      </c>
      <c r="G21" s="474">
        <v>6500000</v>
      </c>
      <c r="H21" s="482">
        <v>1</v>
      </c>
    </row>
    <row r="22" spans="1:8" ht="31.5" x14ac:dyDescent="0.25">
      <c r="B22" s="474" t="s">
        <v>370</v>
      </c>
      <c r="C22" s="474" t="s">
        <v>60</v>
      </c>
      <c r="D22" s="474" t="s">
        <v>308</v>
      </c>
      <c r="E22" s="474">
        <v>71</v>
      </c>
      <c r="F22" s="474" t="s">
        <v>82</v>
      </c>
      <c r="G22" s="474">
        <v>10662400</v>
      </c>
      <c r="H22" s="482">
        <v>1</v>
      </c>
    </row>
    <row r="23" spans="1:8" ht="31.5" x14ac:dyDescent="0.25">
      <c r="B23" s="474"/>
      <c r="C23" s="474" t="s">
        <v>70</v>
      </c>
      <c r="D23" s="474" t="s">
        <v>389</v>
      </c>
      <c r="E23" s="474">
        <v>82</v>
      </c>
      <c r="F23" s="474" t="s">
        <v>93</v>
      </c>
      <c r="G23" s="474">
        <v>11500000</v>
      </c>
      <c r="H23" s="482">
        <v>1</v>
      </c>
    </row>
    <row r="24" spans="1:8" ht="31.5" x14ac:dyDescent="0.25">
      <c r="B24" s="474"/>
      <c r="C24" s="474"/>
      <c r="D24" s="474"/>
      <c r="E24" s="474">
        <v>254</v>
      </c>
      <c r="F24" s="474" t="s">
        <v>697</v>
      </c>
      <c r="G24" s="474">
        <v>4000000</v>
      </c>
      <c r="H24" s="482">
        <v>1</v>
      </c>
    </row>
    <row r="25" spans="1:8" x14ac:dyDescent="0.25">
      <c r="A25" s="472" t="s">
        <v>433</v>
      </c>
      <c r="C25" s="472"/>
      <c r="E25" s="472"/>
      <c r="F25" s="472"/>
      <c r="G25" s="472"/>
      <c r="H25" s="483">
        <v>4</v>
      </c>
    </row>
    <row r="26" spans="1:8" x14ac:dyDescent="0.25">
      <c r="A26" s="472" t="s">
        <v>364</v>
      </c>
      <c r="C26" s="472"/>
      <c r="E26" s="472"/>
      <c r="F26" s="472"/>
      <c r="G26" s="472"/>
      <c r="H26" s="483">
        <v>16</v>
      </c>
    </row>
    <row r="27" spans="1:8" x14ac:dyDescent="0.25">
      <c r="C27" s="472"/>
      <c r="E27" s="472"/>
      <c r="F27" s="472"/>
    </row>
    <row r="28" spans="1:8" x14ac:dyDescent="0.25">
      <c r="C28" s="472"/>
      <c r="E28" s="472"/>
      <c r="F28" s="467"/>
    </row>
    <row r="29" spans="1:8" x14ac:dyDescent="0.25">
      <c r="C29" s="472"/>
      <c r="E29" s="472"/>
      <c r="F29" s="467"/>
    </row>
    <row r="30" spans="1:8" x14ac:dyDescent="0.25">
      <c r="C30" s="472"/>
      <c r="E30" s="472"/>
      <c r="F30" s="467"/>
    </row>
    <row r="31" spans="1:8" x14ac:dyDescent="0.25">
      <c r="C31" s="472"/>
      <c r="E31" s="472"/>
      <c r="F31" s="467"/>
    </row>
    <row r="32" spans="1:8" x14ac:dyDescent="0.25">
      <c r="C32" s="472"/>
      <c r="E32" s="472"/>
      <c r="F32" s="467"/>
    </row>
    <row r="33" spans="3:6" x14ac:dyDescent="0.25">
      <c r="C33" s="472"/>
      <c r="E33" s="472"/>
      <c r="F33" s="467"/>
    </row>
    <row r="34" spans="3:6" x14ac:dyDescent="0.25">
      <c r="C34" s="472"/>
      <c r="E34" s="472"/>
      <c r="F34" s="467"/>
    </row>
    <row r="35" spans="3:6" x14ac:dyDescent="0.25">
      <c r="C35" s="472"/>
      <c r="E35" s="472"/>
      <c r="F35" s="467"/>
    </row>
    <row r="36" spans="3:6" x14ac:dyDescent="0.25">
      <c r="C36" s="472"/>
      <c r="E36" s="472"/>
      <c r="F36" s="467"/>
    </row>
    <row r="37" spans="3:6" x14ac:dyDescent="0.25">
      <c r="C37" s="472"/>
      <c r="E37" s="472"/>
      <c r="F37" s="467"/>
    </row>
    <row r="38" spans="3:6" x14ac:dyDescent="0.25">
      <c r="E38" s="472"/>
      <c r="F38" s="467"/>
    </row>
    <row r="39" spans="3:6" x14ac:dyDescent="0.25">
      <c r="E39" s="472"/>
      <c r="F39" s="467"/>
    </row>
    <row r="40" spans="3:6" x14ac:dyDescent="0.25">
      <c r="E40" s="472"/>
      <c r="F40" s="467"/>
    </row>
    <row r="41" spans="3:6" x14ac:dyDescent="0.25">
      <c r="E41" s="472"/>
      <c r="F41" s="467"/>
    </row>
    <row r="42" spans="3:6" x14ac:dyDescent="0.25">
      <c r="E42" s="472"/>
      <c r="F42" s="467"/>
    </row>
    <row r="43" spans="3:6" x14ac:dyDescent="0.25">
      <c r="E43" s="472"/>
      <c r="F43" s="467"/>
    </row>
    <row r="44" spans="3:6" x14ac:dyDescent="0.25">
      <c r="E44" s="472"/>
      <c r="F44" s="467"/>
    </row>
    <row r="45" spans="3:6" x14ac:dyDescent="0.25">
      <c r="E45" s="472"/>
      <c r="F45" s="467"/>
    </row>
    <row r="46" spans="3:6" x14ac:dyDescent="0.25">
      <c r="E46" s="472"/>
      <c r="F46" s="467"/>
    </row>
    <row r="47" spans="3:6" x14ac:dyDescent="0.25">
      <c r="E47" s="472"/>
      <c r="F47" s="467"/>
    </row>
    <row r="48" spans="3:6" x14ac:dyDescent="0.25">
      <c r="E48" s="472"/>
      <c r="F48" s="467"/>
    </row>
    <row r="49" spans="5:6" x14ac:dyDescent="0.25">
      <c r="E49" s="472"/>
      <c r="F49" s="467"/>
    </row>
    <row r="50" spans="5:6" x14ac:dyDescent="0.25">
      <c r="E50" s="472"/>
      <c r="F50" s="467"/>
    </row>
    <row r="51" spans="5:6" x14ac:dyDescent="0.25">
      <c r="E51" s="472"/>
      <c r="F51" s="467"/>
    </row>
    <row r="52" spans="5:6" x14ac:dyDescent="0.25">
      <c r="E52" s="472"/>
      <c r="F52" s="467"/>
    </row>
    <row r="53" spans="5:6" x14ac:dyDescent="0.25">
      <c r="E53" s="472"/>
      <c r="F53" s="467"/>
    </row>
    <row r="54" spans="5:6" x14ac:dyDescent="0.25">
      <c r="E54" s="472"/>
      <c r="F54" s="467"/>
    </row>
    <row r="55" spans="5:6" x14ac:dyDescent="0.25">
      <c r="E55" s="472"/>
      <c r="F55" s="467"/>
    </row>
    <row r="56" spans="5:6" x14ac:dyDescent="0.25">
      <c r="E56" s="472"/>
      <c r="F56" s="467"/>
    </row>
    <row r="57" spans="5:6" x14ac:dyDescent="0.25">
      <c r="E57" s="472"/>
      <c r="F57" s="467"/>
    </row>
    <row r="58" spans="5:6" x14ac:dyDescent="0.25">
      <c r="E58" s="472"/>
      <c r="F58" s="467"/>
    </row>
    <row r="59" spans="5:6" x14ac:dyDescent="0.25">
      <c r="E59" s="472"/>
      <c r="F59" s="467"/>
    </row>
    <row r="60" spans="5:6" x14ac:dyDescent="0.25">
      <c r="E60" s="472"/>
      <c r="F60" s="467"/>
    </row>
    <row r="61" spans="5:6" x14ac:dyDescent="0.25">
      <c r="E61" s="472"/>
      <c r="F61" s="467"/>
    </row>
    <row r="62" spans="5:6" x14ac:dyDescent="0.25">
      <c r="E62" s="472"/>
      <c r="F62" s="467"/>
    </row>
    <row r="63" spans="5:6" x14ac:dyDescent="0.25">
      <c r="E63" s="472"/>
      <c r="F63" s="467"/>
    </row>
    <row r="64" spans="5:6" x14ac:dyDescent="0.25">
      <c r="E64" s="472"/>
      <c r="F64" s="467"/>
    </row>
    <row r="65" spans="5:6" x14ac:dyDescent="0.25">
      <c r="E65" s="472"/>
      <c r="F65" s="467"/>
    </row>
    <row r="66" spans="5:6" x14ac:dyDescent="0.25">
      <c r="E66" s="472"/>
      <c r="F66" s="467"/>
    </row>
    <row r="67" spans="5:6" x14ac:dyDescent="0.25">
      <c r="E67" s="472"/>
      <c r="F67" s="467"/>
    </row>
    <row r="68" spans="5:6" x14ac:dyDescent="0.25">
      <c r="E68" s="472"/>
      <c r="F68" s="467"/>
    </row>
    <row r="69" spans="5:6" x14ac:dyDescent="0.25">
      <c r="E69" s="472"/>
      <c r="F69" s="467"/>
    </row>
    <row r="70" spans="5:6" x14ac:dyDescent="0.25">
      <c r="E70" s="472"/>
      <c r="F70" s="467"/>
    </row>
    <row r="71" spans="5:6" x14ac:dyDescent="0.25">
      <c r="E71" s="472"/>
      <c r="F71" s="467"/>
    </row>
    <row r="72" spans="5:6" x14ac:dyDescent="0.25">
      <c r="E72" s="472"/>
      <c r="F72" s="467"/>
    </row>
    <row r="73" spans="5:6" x14ac:dyDescent="0.25">
      <c r="E73" s="472"/>
      <c r="F73" s="467"/>
    </row>
    <row r="74" spans="5:6" x14ac:dyDescent="0.25">
      <c r="E74" s="472"/>
      <c r="F74" s="467"/>
    </row>
    <row r="75" spans="5:6" x14ac:dyDescent="0.25">
      <c r="E75" s="472"/>
      <c r="F75" s="467"/>
    </row>
    <row r="76" spans="5:6" x14ac:dyDescent="0.25">
      <c r="E76" s="472"/>
      <c r="F76" s="467"/>
    </row>
    <row r="77" spans="5:6" x14ac:dyDescent="0.25">
      <c r="E77" s="472"/>
      <c r="F77" s="467"/>
    </row>
    <row r="78" spans="5:6" x14ac:dyDescent="0.25">
      <c r="E78" s="472"/>
      <c r="F78" s="467"/>
    </row>
    <row r="79" spans="5:6" x14ac:dyDescent="0.25">
      <c r="E79" s="472"/>
      <c r="F79" s="467"/>
    </row>
    <row r="80" spans="5:6" x14ac:dyDescent="0.25">
      <c r="E80" s="472"/>
      <c r="F80" s="467"/>
    </row>
    <row r="81" spans="5:6" x14ac:dyDescent="0.25">
      <c r="E81" s="472"/>
      <c r="F81" s="467"/>
    </row>
    <row r="82" spans="5:6" x14ac:dyDescent="0.25">
      <c r="E82" s="472"/>
      <c r="F82" s="467"/>
    </row>
    <row r="83" spans="5:6" x14ac:dyDescent="0.25">
      <c r="E83" s="472"/>
      <c r="F83" s="467"/>
    </row>
    <row r="84" spans="5:6" x14ac:dyDescent="0.25">
      <c r="E84" s="472"/>
      <c r="F84" s="467"/>
    </row>
    <row r="85" spans="5:6" x14ac:dyDescent="0.25">
      <c r="E85" s="472"/>
      <c r="F85" s="467"/>
    </row>
    <row r="86" spans="5:6" x14ac:dyDescent="0.25">
      <c r="E86" s="472"/>
      <c r="F86" s="467"/>
    </row>
    <row r="87" spans="5:6" x14ac:dyDescent="0.25">
      <c r="E87" s="472"/>
      <c r="F87" s="467"/>
    </row>
    <row r="88" spans="5:6" x14ac:dyDescent="0.25">
      <c r="E88" s="472"/>
      <c r="F88" s="467"/>
    </row>
    <row r="89" spans="5:6" x14ac:dyDescent="0.25">
      <c r="E89" s="472"/>
      <c r="F89" s="467"/>
    </row>
    <row r="90" spans="5:6" x14ac:dyDescent="0.25">
      <c r="E90" s="472"/>
      <c r="F90" s="467"/>
    </row>
    <row r="91" spans="5:6" x14ac:dyDescent="0.25">
      <c r="E91" s="472"/>
      <c r="F91" s="467"/>
    </row>
    <row r="92" spans="5:6" x14ac:dyDescent="0.25">
      <c r="E92" s="472"/>
      <c r="F92" s="467"/>
    </row>
    <row r="93" spans="5:6" x14ac:dyDescent="0.25">
      <c r="E93" s="472"/>
      <c r="F93" s="467"/>
    </row>
    <row r="94" spans="5:6" x14ac:dyDescent="0.25">
      <c r="E94" s="472"/>
      <c r="F94" s="467"/>
    </row>
    <row r="95" spans="5:6" x14ac:dyDescent="0.25">
      <c r="E95" s="472"/>
      <c r="F95" s="467"/>
    </row>
    <row r="96" spans="5:6" x14ac:dyDescent="0.25">
      <c r="E96" s="472"/>
      <c r="F96" s="467"/>
    </row>
    <row r="97" spans="5:6" x14ac:dyDescent="0.25">
      <c r="E97" s="472"/>
      <c r="F97" s="467"/>
    </row>
    <row r="98" spans="5:6" x14ac:dyDescent="0.25">
      <c r="E98" s="472"/>
      <c r="F98" s="467"/>
    </row>
    <row r="99" spans="5:6" x14ac:dyDescent="0.25">
      <c r="E99" s="472"/>
      <c r="F99" s="467"/>
    </row>
    <row r="100" spans="5:6" x14ac:dyDescent="0.25">
      <c r="E100" s="472"/>
      <c r="F100" s="467"/>
    </row>
    <row r="101" spans="5:6" x14ac:dyDescent="0.25">
      <c r="E101" s="472"/>
      <c r="F101" s="467"/>
    </row>
    <row r="102" spans="5:6" x14ac:dyDescent="0.25">
      <c r="E102" s="472"/>
      <c r="F102" s="467"/>
    </row>
    <row r="103" spans="5:6" x14ac:dyDescent="0.25">
      <c r="E103" s="472"/>
      <c r="F103" s="467"/>
    </row>
    <row r="104" spans="5:6" x14ac:dyDescent="0.25">
      <c r="E104" s="472"/>
      <c r="F104" s="467"/>
    </row>
    <row r="105" spans="5:6" x14ac:dyDescent="0.25">
      <c r="E105" s="472"/>
      <c r="F105" s="467"/>
    </row>
    <row r="106" spans="5:6" x14ac:dyDescent="0.25">
      <c r="E106" s="472"/>
      <c r="F106" s="467"/>
    </row>
    <row r="107" spans="5:6" x14ac:dyDescent="0.25">
      <c r="E107" s="472"/>
      <c r="F107" s="467"/>
    </row>
    <row r="108" spans="5:6" x14ac:dyDescent="0.25">
      <c r="E108" s="472"/>
      <c r="F108" s="467"/>
    </row>
    <row r="109" spans="5:6" x14ac:dyDescent="0.25">
      <c r="E109" s="472"/>
      <c r="F109" s="467"/>
    </row>
    <row r="110" spans="5:6" x14ac:dyDescent="0.25">
      <c r="E110" s="472"/>
      <c r="F110" s="467"/>
    </row>
    <row r="111" spans="5:6" x14ac:dyDescent="0.25">
      <c r="E111" s="472"/>
      <c r="F111" s="467"/>
    </row>
    <row r="112" spans="5:6" x14ac:dyDescent="0.25">
      <c r="E112" s="472"/>
      <c r="F112" s="467"/>
    </row>
    <row r="113" spans="5:6" x14ac:dyDescent="0.25">
      <c r="E113" s="472"/>
      <c r="F113" s="467"/>
    </row>
    <row r="114" spans="5:6" x14ac:dyDescent="0.25">
      <c r="E114" s="472"/>
      <c r="F114" s="467"/>
    </row>
    <row r="115" spans="5:6" x14ac:dyDescent="0.25">
      <c r="E115" s="472"/>
      <c r="F115" s="467"/>
    </row>
    <row r="116" spans="5:6" x14ac:dyDescent="0.25">
      <c r="E116" s="472"/>
      <c r="F116" s="467"/>
    </row>
    <row r="117" spans="5:6" x14ac:dyDescent="0.25">
      <c r="E117" s="472"/>
      <c r="F117" s="467"/>
    </row>
    <row r="118" spans="5:6" x14ac:dyDescent="0.25">
      <c r="E118" s="472"/>
      <c r="F118" s="467"/>
    </row>
    <row r="119" spans="5:6" x14ac:dyDescent="0.25">
      <c r="E119" s="472"/>
      <c r="F119" s="467"/>
    </row>
    <row r="120" spans="5:6" x14ac:dyDescent="0.25">
      <c r="E120" s="472"/>
      <c r="F120" s="467"/>
    </row>
    <row r="121" spans="5:6" x14ac:dyDescent="0.25">
      <c r="E121" s="472"/>
      <c r="F121" s="467"/>
    </row>
    <row r="122" spans="5:6" x14ac:dyDescent="0.25">
      <c r="E122" s="472"/>
      <c r="F122" s="467"/>
    </row>
    <row r="123" spans="5:6" x14ac:dyDescent="0.25">
      <c r="E123" s="472"/>
      <c r="F123" s="467"/>
    </row>
    <row r="124" spans="5:6" x14ac:dyDescent="0.25">
      <c r="E124" s="472"/>
      <c r="F124" s="467"/>
    </row>
    <row r="125" spans="5:6" x14ac:dyDescent="0.25">
      <c r="E125" s="472"/>
      <c r="F125" s="467"/>
    </row>
    <row r="126" spans="5:6" x14ac:dyDescent="0.25">
      <c r="E126" s="472"/>
      <c r="F126" s="467"/>
    </row>
    <row r="127" spans="5:6" x14ac:dyDescent="0.25">
      <c r="E127" s="472"/>
      <c r="F127" s="467"/>
    </row>
    <row r="128" spans="5:6" x14ac:dyDescent="0.25">
      <c r="E128" s="472"/>
      <c r="F128" s="467"/>
    </row>
    <row r="129" spans="5:6" x14ac:dyDescent="0.25">
      <c r="E129" s="472"/>
      <c r="F129" s="467"/>
    </row>
    <row r="130" spans="5:6" x14ac:dyDescent="0.25">
      <c r="E130" s="472"/>
      <c r="F130" s="467"/>
    </row>
    <row r="131" spans="5:6" x14ac:dyDescent="0.25">
      <c r="E131" s="472"/>
      <c r="F131" s="467"/>
    </row>
    <row r="132" spans="5:6" x14ac:dyDescent="0.25">
      <c r="E132" s="472"/>
      <c r="F132" s="467"/>
    </row>
    <row r="133" spans="5:6" x14ac:dyDescent="0.25">
      <c r="E133" s="472"/>
      <c r="F133" s="467"/>
    </row>
    <row r="134" spans="5:6" x14ac:dyDescent="0.25">
      <c r="E134" s="472"/>
      <c r="F134" s="467"/>
    </row>
    <row r="135" spans="5:6" x14ac:dyDescent="0.25">
      <c r="E135" s="472"/>
      <c r="F135" s="467"/>
    </row>
    <row r="136" spans="5:6" x14ac:dyDescent="0.25">
      <c r="E136" s="472"/>
      <c r="F136" s="467"/>
    </row>
    <row r="137" spans="5:6" x14ac:dyDescent="0.25">
      <c r="E137" s="472"/>
      <c r="F137" s="467"/>
    </row>
    <row r="138" spans="5:6" x14ac:dyDescent="0.25">
      <c r="E138" s="472"/>
      <c r="F138" s="467"/>
    </row>
    <row r="139" spans="5:6" x14ac:dyDescent="0.25">
      <c r="E139" s="472"/>
      <c r="F139" s="467"/>
    </row>
    <row r="140" spans="5:6" x14ac:dyDescent="0.25">
      <c r="E140" s="472"/>
      <c r="F140" s="467"/>
    </row>
    <row r="141" spans="5:6" x14ac:dyDescent="0.25">
      <c r="E141" s="472"/>
      <c r="F141" s="467"/>
    </row>
    <row r="142" spans="5:6" x14ac:dyDescent="0.25">
      <c r="E142" s="472"/>
      <c r="F142" s="467"/>
    </row>
    <row r="143" spans="5:6" x14ac:dyDescent="0.25">
      <c r="E143" s="472"/>
      <c r="F143" s="467"/>
    </row>
    <row r="144" spans="5:6" x14ac:dyDescent="0.25">
      <c r="E144" s="472"/>
      <c r="F144" s="467"/>
    </row>
    <row r="145" spans="5:6" x14ac:dyDescent="0.25">
      <c r="E145" s="472"/>
      <c r="F145" s="467"/>
    </row>
    <row r="146" spans="5:6" x14ac:dyDescent="0.25">
      <c r="E146" s="472"/>
      <c r="F146" s="467"/>
    </row>
    <row r="147" spans="5:6" x14ac:dyDescent="0.25">
      <c r="E147" s="472"/>
      <c r="F147" s="467"/>
    </row>
    <row r="148" spans="5:6" x14ac:dyDescent="0.25">
      <c r="E148" s="472"/>
      <c r="F148" s="467"/>
    </row>
    <row r="149" spans="5:6" x14ac:dyDescent="0.25">
      <c r="E149" s="472"/>
      <c r="F149" s="467"/>
    </row>
    <row r="150" spans="5:6" x14ac:dyDescent="0.25">
      <c r="E150" s="472"/>
      <c r="F150" s="467"/>
    </row>
    <row r="151" spans="5:6" x14ac:dyDescent="0.25">
      <c r="E151" s="472"/>
      <c r="F151" s="467"/>
    </row>
    <row r="152" spans="5:6" x14ac:dyDescent="0.25">
      <c r="E152" s="472"/>
      <c r="F152" s="467"/>
    </row>
    <row r="153" spans="5:6" x14ac:dyDescent="0.25">
      <c r="E153" s="472"/>
      <c r="F153" s="467"/>
    </row>
    <row r="154" spans="5:6" x14ac:dyDescent="0.25">
      <c r="E154" s="472"/>
      <c r="F154" s="467"/>
    </row>
    <row r="155" spans="5:6" x14ac:dyDescent="0.25">
      <c r="E155" s="472"/>
      <c r="F155" s="467"/>
    </row>
    <row r="156" spans="5:6" x14ac:dyDescent="0.25">
      <c r="E156" s="472"/>
      <c r="F156" s="467"/>
    </row>
    <row r="157" spans="5:6" x14ac:dyDescent="0.25">
      <c r="E157" s="472"/>
      <c r="F157" s="467"/>
    </row>
    <row r="158" spans="5:6" x14ac:dyDescent="0.25">
      <c r="E158" s="472"/>
      <c r="F158" s="467"/>
    </row>
    <row r="159" spans="5:6" x14ac:dyDescent="0.25">
      <c r="E159" s="472"/>
      <c r="F159" s="467"/>
    </row>
    <row r="160" spans="5:6" x14ac:dyDescent="0.25">
      <c r="E160" s="472"/>
      <c r="F160" s="467"/>
    </row>
    <row r="161" spans="5:6" x14ac:dyDescent="0.25">
      <c r="E161" s="472"/>
      <c r="F161" s="467"/>
    </row>
    <row r="162" spans="5:6" x14ac:dyDescent="0.25">
      <c r="E162" s="472"/>
      <c r="F162" s="467"/>
    </row>
    <row r="163" spans="5:6" x14ac:dyDescent="0.25">
      <c r="E163" s="472"/>
      <c r="F163" s="467"/>
    </row>
    <row r="164" spans="5:6" x14ac:dyDescent="0.25">
      <c r="E164" s="472"/>
      <c r="F164" s="467"/>
    </row>
    <row r="165" spans="5:6" x14ac:dyDescent="0.25">
      <c r="E165" s="472"/>
      <c r="F165" s="467"/>
    </row>
    <row r="166" spans="5:6" x14ac:dyDescent="0.25">
      <c r="E166" s="472"/>
      <c r="F166" s="467"/>
    </row>
    <row r="167" spans="5:6" x14ac:dyDescent="0.25">
      <c r="E167" s="472"/>
      <c r="F167" s="467"/>
    </row>
    <row r="168" spans="5:6" x14ac:dyDescent="0.25">
      <c r="E168" s="472"/>
      <c r="F168" s="467"/>
    </row>
    <row r="169" spans="5:6" x14ac:dyDescent="0.25">
      <c r="E169" s="472"/>
      <c r="F169" s="467"/>
    </row>
    <row r="170" spans="5:6" x14ac:dyDescent="0.25">
      <c r="E170" s="472"/>
      <c r="F170" s="467"/>
    </row>
    <row r="171" spans="5:6" x14ac:dyDescent="0.25">
      <c r="E171" s="472"/>
      <c r="F171" s="467"/>
    </row>
    <row r="172" spans="5:6" x14ac:dyDescent="0.25">
      <c r="E172" s="472"/>
      <c r="F172" s="467"/>
    </row>
    <row r="173" spans="5:6" x14ac:dyDescent="0.25">
      <c r="E173" s="472"/>
      <c r="F173" s="467"/>
    </row>
    <row r="174" spans="5:6" x14ac:dyDescent="0.25">
      <c r="E174" s="472"/>
      <c r="F174" s="467"/>
    </row>
    <row r="175" spans="5:6" x14ac:dyDescent="0.25">
      <c r="E175" s="472"/>
      <c r="F175" s="467"/>
    </row>
    <row r="176" spans="5:6" x14ac:dyDescent="0.25">
      <c r="E176" s="472"/>
      <c r="F176" s="467"/>
    </row>
    <row r="177" spans="5:6" x14ac:dyDescent="0.25">
      <c r="E177" s="472"/>
      <c r="F177" s="467"/>
    </row>
    <row r="178" spans="5:6" x14ac:dyDescent="0.25">
      <c r="E178" s="472"/>
      <c r="F178" s="467"/>
    </row>
    <row r="179" spans="5:6" x14ac:dyDescent="0.25">
      <c r="E179" s="472"/>
      <c r="F179" s="467"/>
    </row>
    <row r="180" spans="5:6" x14ac:dyDescent="0.25">
      <c r="E180" s="472"/>
      <c r="F180" s="467"/>
    </row>
    <row r="181" spans="5:6" x14ac:dyDescent="0.25">
      <c r="E181" s="472"/>
      <c r="F181" s="467"/>
    </row>
    <row r="182" spans="5:6" x14ac:dyDescent="0.25">
      <c r="E182" s="472"/>
      <c r="F182" s="467"/>
    </row>
    <row r="183" spans="5:6" x14ac:dyDescent="0.25">
      <c r="E183" s="472"/>
      <c r="F183" s="467"/>
    </row>
    <row r="184" spans="5:6" x14ac:dyDescent="0.25">
      <c r="E184" s="472"/>
      <c r="F184" s="467"/>
    </row>
    <row r="185" spans="5:6" x14ac:dyDescent="0.25">
      <c r="E185" s="472"/>
      <c r="F185" s="467"/>
    </row>
    <row r="186" spans="5:6" x14ac:dyDescent="0.25">
      <c r="E186" s="472"/>
      <c r="F186" s="467"/>
    </row>
    <row r="187" spans="5:6" x14ac:dyDescent="0.25">
      <c r="E187" s="472"/>
      <c r="F187" s="467"/>
    </row>
    <row r="188" spans="5:6" x14ac:dyDescent="0.25">
      <c r="E188" s="472"/>
      <c r="F188" s="467"/>
    </row>
    <row r="189" spans="5:6" x14ac:dyDescent="0.25">
      <c r="E189" s="472"/>
      <c r="F189" s="467"/>
    </row>
    <row r="190" spans="5:6" x14ac:dyDescent="0.25">
      <c r="E190" s="472"/>
      <c r="F190" s="467"/>
    </row>
    <row r="191" spans="5:6" x14ac:dyDescent="0.25">
      <c r="E191" s="472"/>
      <c r="F191" s="467"/>
    </row>
    <row r="192" spans="5:6" x14ac:dyDescent="0.25">
      <c r="E192" s="472"/>
      <c r="F192" s="467"/>
    </row>
    <row r="193" spans="5:6" x14ac:dyDescent="0.25">
      <c r="E193" s="472"/>
      <c r="F193" s="467"/>
    </row>
    <row r="194" spans="5:6" x14ac:dyDescent="0.25">
      <c r="E194" s="472"/>
      <c r="F194" s="467"/>
    </row>
    <row r="195" spans="5:6" x14ac:dyDescent="0.25">
      <c r="E195" s="472"/>
      <c r="F195" s="467"/>
    </row>
    <row r="196" spans="5:6" x14ac:dyDescent="0.25">
      <c r="E196" s="472"/>
      <c r="F196" s="467"/>
    </row>
    <row r="197" spans="5:6" x14ac:dyDescent="0.25">
      <c r="E197" s="472"/>
      <c r="F197" s="467"/>
    </row>
    <row r="198" spans="5:6" x14ac:dyDescent="0.25">
      <c r="E198" s="472"/>
      <c r="F198" s="467"/>
    </row>
    <row r="199" spans="5:6" x14ac:dyDescent="0.25">
      <c r="E199" s="472"/>
      <c r="F199" s="467"/>
    </row>
    <row r="200" spans="5:6" x14ac:dyDescent="0.25">
      <c r="E200" s="472"/>
      <c r="F200" s="467"/>
    </row>
    <row r="201" spans="5:6" x14ac:dyDescent="0.25">
      <c r="E201" s="472"/>
      <c r="F201" s="467"/>
    </row>
    <row r="202" spans="5:6" x14ac:dyDescent="0.25">
      <c r="E202" s="472"/>
      <c r="F202" s="467"/>
    </row>
    <row r="203" spans="5:6" x14ac:dyDescent="0.25">
      <c r="E203" s="472"/>
      <c r="F203" s="467"/>
    </row>
    <row r="204" spans="5:6" x14ac:dyDescent="0.25">
      <c r="E204" s="472"/>
      <c r="F204" s="467"/>
    </row>
    <row r="205" spans="5:6" x14ac:dyDescent="0.25">
      <c r="E205" s="472"/>
      <c r="F205" s="467"/>
    </row>
    <row r="206" spans="5:6" x14ac:dyDescent="0.25">
      <c r="E206" s="472"/>
      <c r="F206" s="467"/>
    </row>
    <row r="207" spans="5:6" x14ac:dyDescent="0.25">
      <c r="E207" s="472"/>
      <c r="F207" s="467"/>
    </row>
    <row r="208" spans="5:6" x14ac:dyDescent="0.25">
      <c r="E208" s="472"/>
      <c r="F208" s="467"/>
    </row>
    <row r="209" spans="5:6" x14ac:dyDescent="0.25">
      <c r="E209" s="472"/>
      <c r="F209" s="467"/>
    </row>
    <row r="210" spans="5:6" x14ac:dyDescent="0.25">
      <c r="E210" s="472"/>
      <c r="F210" s="467"/>
    </row>
    <row r="211" spans="5:6" x14ac:dyDescent="0.25">
      <c r="E211" s="472"/>
      <c r="F211" s="467"/>
    </row>
    <row r="212" spans="5:6" x14ac:dyDescent="0.25">
      <c r="E212" s="472"/>
      <c r="F212" s="467"/>
    </row>
    <row r="213" spans="5:6" x14ac:dyDescent="0.25">
      <c r="E213" s="472"/>
      <c r="F213" s="467"/>
    </row>
    <row r="214" spans="5:6" x14ac:dyDescent="0.25">
      <c r="E214" s="472"/>
      <c r="F214" s="467"/>
    </row>
    <row r="215" spans="5:6" x14ac:dyDescent="0.25">
      <c r="E215" s="472"/>
      <c r="F215" s="467"/>
    </row>
    <row r="216" spans="5:6" x14ac:dyDescent="0.25">
      <c r="E216" s="472"/>
      <c r="F216" s="467"/>
    </row>
    <row r="217" spans="5:6" x14ac:dyDescent="0.25">
      <c r="E217" s="472"/>
      <c r="F217" s="467"/>
    </row>
    <row r="218" spans="5:6" x14ac:dyDescent="0.25">
      <c r="E218" s="472"/>
      <c r="F218" s="467"/>
    </row>
    <row r="219" spans="5:6" x14ac:dyDescent="0.25">
      <c r="E219" s="472"/>
      <c r="F219" s="467"/>
    </row>
    <row r="220" spans="5:6" x14ac:dyDescent="0.25">
      <c r="E220" s="472"/>
      <c r="F220" s="467"/>
    </row>
    <row r="221" spans="5:6" x14ac:dyDescent="0.25">
      <c r="E221" s="472"/>
      <c r="F221" s="467"/>
    </row>
    <row r="222" spans="5:6" x14ac:dyDescent="0.25">
      <c r="E222" s="472"/>
      <c r="F222" s="467"/>
    </row>
    <row r="223" spans="5:6" x14ac:dyDescent="0.25">
      <c r="E223" s="472"/>
      <c r="F223" s="467"/>
    </row>
    <row r="224" spans="5:6" x14ac:dyDescent="0.25">
      <c r="E224" s="472"/>
      <c r="F224" s="467"/>
    </row>
    <row r="225" spans="5:6" x14ac:dyDescent="0.25">
      <c r="E225" s="472"/>
      <c r="F225" s="467"/>
    </row>
    <row r="226" spans="5:6" x14ac:dyDescent="0.25">
      <c r="E226" s="472"/>
      <c r="F226" s="467"/>
    </row>
    <row r="227" spans="5:6" x14ac:dyDescent="0.25">
      <c r="E227" s="472"/>
      <c r="F227" s="467"/>
    </row>
    <row r="228" spans="5:6" x14ac:dyDescent="0.25">
      <c r="E228" s="472"/>
      <c r="F228" s="467"/>
    </row>
    <row r="229" spans="5:6" x14ac:dyDescent="0.25">
      <c r="E229" s="472"/>
      <c r="F229" s="467"/>
    </row>
    <row r="230" spans="5:6" x14ac:dyDescent="0.25">
      <c r="E230" s="472"/>
      <c r="F230" s="467"/>
    </row>
    <row r="231" spans="5:6" x14ac:dyDescent="0.25">
      <c r="E231" s="472"/>
      <c r="F231" s="467"/>
    </row>
    <row r="232" spans="5:6" x14ac:dyDescent="0.25">
      <c r="E232" s="472"/>
      <c r="F232" s="467"/>
    </row>
    <row r="233" spans="5:6" x14ac:dyDescent="0.25">
      <c r="E233" s="472"/>
      <c r="F233" s="467"/>
    </row>
    <row r="234" spans="5:6" x14ac:dyDescent="0.25">
      <c r="E234" s="472"/>
      <c r="F234" s="467"/>
    </row>
    <row r="235" spans="5:6" x14ac:dyDescent="0.25">
      <c r="E235" s="472"/>
      <c r="F235" s="467"/>
    </row>
    <row r="236" spans="5:6" x14ac:dyDescent="0.25">
      <c r="E236" s="472"/>
      <c r="F236" s="467"/>
    </row>
    <row r="237" spans="5:6" x14ac:dyDescent="0.25">
      <c r="E237" s="472"/>
      <c r="F237" s="467"/>
    </row>
    <row r="238" spans="5:6" x14ac:dyDescent="0.25">
      <c r="E238" s="472"/>
      <c r="F238" s="467"/>
    </row>
    <row r="239" spans="5:6" x14ac:dyDescent="0.25">
      <c r="E239" s="472"/>
      <c r="F239" s="467"/>
    </row>
    <row r="240" spans="5:6" x14ac:dyDescent="0.25">
      <c r="E240" s="472"/>
      <c r="F240" s="467"/>
    </row>
    <row r="241" spans="5:6" x14ac:dyDescent="0.25">
      <c r="E241" s="472"/>
      <c r="F241" s="467"/>
    </row>
    <row r="242" spans="5:6" x14ac:dyDescent="0.25">
      <c r="E242" s="472"/>
      <c r="F242" s="467"/>
    </row>
    <row r="243" spans="5:6" x14ac:dyDescent="0.25">
      <c r="E243" s="472"/>
      <c r="F243" s="467"/>
    </row>
    <row r="244" spans="5:6" x14ac:dyDescent="0.25">
      <c r="E244" s="472"/>
      <c r="F244" s="467"/>
    </row>
    <row r="245" spans="5:6" x14ac:dyDescent="0.25">
      <c r="E245" s="472"/>
      <c r="F245" s="467"/>
    </row>
    <row r="246" spans="5:6" x14ac:dyDescent="0.25">
      <c r="E246" s="472"/>
      <c r="F246" s="467"/>
    </row>
    <row r="247" spans="5:6" x14ac:dyDescent="0.25">
      <c r="E247" s="472"/>
      <c r="F247" s="467"/>
    </row>
    <row r="248" spans="5:6" x14ac:dyDescent="0.25">
      <c r="E248" s="472"/>
      <c r="F248" s="467"/>
    </row>
    <row r="249" spans="5:6" x14ac:dyDescent="0.25">
      <c r="E249" s="472"/>
      <c r="F249" s="467"/>
    </row>
    <row r="250" spans="5:6" x14ac:dyDescent="0.25">
      <c r="E250" s="472"/>
      <c r="F250" s="467"/>
    </row>
    <row r="251" spans="5:6" x14ac:dyDescent="0.25">
      <c r="E251" s="472"/>
      <c r="F251" s="467"/>
    </row>
    <row r="252" spans="5:6" x14ac:dyDescent="0.25">
      <c r="E252" s="472"/>
      <c r="F252" s="467"/>
    </row>
    <row r="253" spans="5:6" x14ac:dyDescent="0.25">
      <c r="E253" s="472"/>
      <c r="F253" s="467"/>
    </row>
    <row r="254" spans="5:6" x14ac:dyDescent="0.25">
      <c r="E254" s="472"/>
      <c r="F254" s="467"/>
    </row>
    <row r="255" spans="5:6" x14ac:dyDescent="0.25">
      <c r="E255" s="472"/>
      <c r="F255" s="467"/>
    </row>
    <row r="256" spans="5:6" x14ac:dyDescent="0.25">
      <c r="E256" s="472"/>
      <c r="F256" s="467"/>
    </row>
    <row r="257" spans="5:6" x14ac:dyDescent="0.25">
      <c r="E257" s="472"/>
      <c r="F257" s="467"/>
    </row>
    <row r="258" spans="5:6" x14ac:dyDescent="0.25">
      <c r="E258" s="472"/>
      <c r="F258" s="467"/>
    </row>
    <row r="259" spans="5:6" x14ac:dyDescent="0.25">
      <c r="E259" s="472"/>
      <c r="F259" s="467"/>
    </row>
    <row r="260" spans="5:6" x14ac:dyDescent="0.25">
      <c r="E260" s="472"/>
      <c r="F260" s="467"/>
    </row>
    <row r="261" spans="5:6" x14ac:dyDescent="0.25">
      <c r="E261" s="472"/>
      <c r="F261" s="467"/>
    </row>
    <row r="262" spans="5:6" x14ac:dyDescent="0.25">
      <c r="E262" s="472"/>
      <c r="F262" s="467"/>
    </row>
    <row r="263" spans="5:6" x14ac:dyDescent="0.25">
      <c r="E263" s="472"/>
      <c r="F263" s="467"/>
    </row>
    <row r="264" spans="5:6" x14ac:dyDescent="0.25">
      <c r="E264" s="472"/>
      <c r="F264" s="467"/>
    </row>
    <row r="265" spans="5:6" x14ac:dyDescent="0.25">
      <c r="E265" s="472"/>
      <c r="F265" s="467"/>
    </row>
    <row r="266" spans="5:6" x14ac:dyDescent="0.25">
      <c r="E266" s="472"/>
      <c r="F266" s="467"/>
    </row>
    <row r="267" spans="5:6" x14ac:dyDescent="0.25">
      <c r="E267" s="472"/>
      <c r="F267" s="467"/>
    </row>
    <row r="268" spans="5:6" x14ac:dyDescent="0.25">
      <c r="E268" s="472"/>
      <c r="F268" s="467"/>
    </row>
    <row r="269" spans="5:6" x14ac:dyDescent="0.25">
      <c r="E269" s="472"/>
      <c r="F269" s="467"/>
    </row>
    <row r="270" spans="5:6" x14ac:dyDescent="0.25">
      <c r="E270" s="472"/>
      <c r="F270" s="467"/>
    </row>
    <row r="271" spans="5:6" x14ac:dyDescent="0.25">
      <c r="E271" s="472"/>
      <c r="F271" s="467"/>
    </row>
    <row r="272" spans="5:6" x14ac:dyDescent="0.25">
      <c r="E272" s="472"/>
      <c r="F272" s="467"/>
    </row>
    <row r="273" spans="5:6" x14ac:dyDescent="0.25">
      <c r="E273" s="472"/>
      <c r="F273" s="467"/>
    </row>
    <row r="274" spans="5:6" x14ac:dyDescent="0.25">
      <c r="E274" s="472"/>
      <c r="F274" s="467"/>
    </row>
    <row r="275" spans="5:6" x14ac:dyDescent="0.25">
      <c r="E275" s="472"/>
      <c r="F275" s="467"/>
    </row>
    <row r="276" spans="5:6" x14ac:dyDescent="0.25">
      <c r="E276" s="472"/>
      <c r="F276" s="467"/>
    </row>
    <row r="277" spans="5:6" x14ac:dyDescent="0.25">
      <c r="E277" s="472"/>
      <c r="F277" s="467"/>
    </row>
    <row r="278" spans="5:6" x14ac:dyDescent="0.25">
      <c r="E278" s="472"/>
      <c r="F278" s="467"/>
    </row>
    <row r="279" spans="5:6" x14ac:dyDescent="0.25">
      <c r="E279" s="472"/>
      <c r="F279" s="467"/>
    </row>
    <row r="280" spans="5:6" x14ac:dyDescent="0.25">
      <c r="E280" s="472"/>
      <c r="F280" s="467"/>
    </row>
    <row r="281" spans="5:6" x14ac:dyDescent="0.25">
      <c r="E281" s="472"/>
      <c r="F281" s="467"/>
    </row>
    <row r="282" spans="5:6" x14ac:dyDescent="0.25">
      <c r="E282" s="472"/>
      <c r="F282" s="467"/>
    </row>
    <row r="283" spans="5:6" x14ac:dyDescent="0.25">
      <c r="E283" s="472"/>
      <c r="F283" s="467"/>
    </row>
  </sheetData>
  <mergeCells count="1">
    <mergeCell ref="A1:H1"/>
  </mergeCells>
  <printOptions horizontalCentered="1"/>
  <pageMargins left="0.70866141732283472" right="0.70866141732283472" top="0.74803149606299213" bottom="0.74803149606299213" header="0.31496062992125984" footer="0.31496062992125984"/>
  <pageSetup scale="54" orientation="landscape" horizontalDpi="1200" verticalDpi="1200" r:id="rId2"/>
  <rowBreaks count="1" manualBreakCount="1">
    <brk id="2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FF6FA-9CF3-4AF3-9406-5FEEF885B4BA}">
  <dimension ref="A1:I283"/>
  <sheetViews>
    <sheetView showGridLines="0" view="pageBreakPreview" topLeftCell="D1" zoomScaleNormal="85" zoomScaleSheetLayoutView="100" workbookViewId="0">
      <selection activeCell="F20" sqref="F20"/>
    </sheetView>
  </sheetViews>
  <sheetFormatPr baseColWidth="10" defaultRowHeight="15.75" x14ac:dyDescent="0.25"/>
  <cols>
    <col min="1" max="1" width="27.7109375" style="466" customWidth="1"/>
    <col min="2" max="2" width="14.5703125" style="466" customWidth="1"/>
    <col min="3" max="3" width="19.28515625" style="467" customWidth="1"/>
    <col min="4" max="4" width="12.7109375" style="472" customWidth="1"/>
    <col min="5" max="5" width="23.85546875" style="469" customWidth="1"/>
    <col min="6" max="6" width="100" style="469" customWidth="1"/>
    <col min="7" max="7" width="21" style="470" bestFit="1" customWidth="1"/>
    <col min="8" max="8" width="14.5703125" style="471" bestFit="1" customWidth="1"/>
    <col min="9" max="9" width="6" style="464" bestFit="1" customWidth="1"/>
    <col min="10" max="20" width="11" style="464" bestFit="1" customWidth="1"/>
    <col min="21" max="22" width="12.5703125" style="464" bestFit="1" customWidth="1"/>
    <col min="23" max="23" width="16.28515625" style="464" bestFit="1" customWidth="1"/>
    <col min="24" max="24" width="22.5703125" style="464" bestFit="1" customWidth="1"/>
    <col min="25" max="25" width="16.28515625" style="464" bestFit="1" customWidth="1"/>
    <col min="26" max="26" width="22.5703125" style="464" bestFit="1" customWidth="1"/>
    <col min="27" max="27" width="16.28515625" style="464" bestFit="1" customWidth="1"/>
    <col min="28" max="28" width="27.5703125" style="464" bestFit="1" customWidth="1"/>
    <col min="29" max="29" width="21.28515625" style="464" bestFit="1" customWidth="1"/>
    <col min="30" max="30" width="9.7109375" style="464" bestFit="1" customWidth="1"/>
    <col min="31" max="31" width="10.7109375" style="464" bestFit="1" customWidth="1"/>
    <col min="32" max="32" width="9.7109375" style="464" bestFit="1" customWidth="1"/>
    <col min="33" max="42" width="10.7109375" style="464" bestFit="1" customWidth="1"/>
    <col min="43" max="44" width="9.7109375" style="464" bestFit="1" customWidth="1"/>
    <col min="45" max="46" width="10.7109375" style="464" bestFit="1" customWidth="1"/>
    <col min="47" max="49" width="9.7109375" style="464" bestFit="1" customWidth="1"/>
    <col min="50" max="57" width="10.7109375" style="464" bestFit="1" customWidth="1"/>
    <col min="58" max="59" width="9.7109375" style="464" bestFit="1" customWidth="1"/>
    <col min="60" max="61" width="10.7109375" style="464" bestFit="1" customWidth="1"/>
    <col min="62" max="63" width="9.7109375" style="464" bestFit="1" customWidth="1"/>
    <col min="64" max="64" width="11" style="464" bestFit="1" customWidth="1"/>
    <col min="65" max="65" width="12.5703125" style="464" bestFit="1" customWidth="1"/>
    <col min="66" max="16384" width="11.42578125" style="464"/>
  </cols>
  <sheetData>
    <row r="1" spans="1:9" ht="45" customHeight="1" x14ac:dyDescent="0.25">
      <c r="A1" s="524" t="s">
        <v>720</v>
      </c>
      <c r="B1" s="524"/>
      <c r="C1" s="524"/>
      <c r="D1" s="524"/>
      <c r="E1" s="524"/>
      <c r="F1" s="524"/>
      <c r="G1" s="524"/>
      <c r="H1" s="524"/>
    </row>
    <row r="2" spans="1:9" x14ac:dyDescent="0.25">
      <c r="A2" s="465" t="s">
        <v>122</v>
      </c>
      <c r="B2" s="466" t="s">
        <v>701</v>
      </c>
      <c r="D2" s="468"/>
    </row>
    <row r="3" spans="1:9" x14ac:dyDescent="0.25">
      <c r="E3" s="472"/>
      <c r="F3" s="467"/>
    </row>
    <row r="4" spans="1:9" x14ac:dyDescent="0.25">
      <c r="A4" s="465" t="s">
        <v>365</v>
      </c>
      <c r="C4" s="466"/>
      <c r="D4" s="466"/>
      <c r="E4" s="466"/>
      <c r="F4" s="466"/>
      <c r="G4" s="466"/>
      <c r="H4" s="466"/>
    </row>
    <row r="5" spans="1:9" ht="31.5" x14ac:dyDescent="0.25">
      <c r="A5" s="465" t="s">
        <v>39</v>
      </c>
      <c r="B5" s="478" t="s">
        <v>368</v>
      </c>
      <c r="C5" s="478" t="s">
        <v>115</v>
      </c>
      <c r="D5" s="478" t="s">
        <v>339</v>
      </c>
      <c r="E5" s="478" t="s">
        <v>2</v>
      </c>
      <c r="F5" s="478" t="s">
        <v>119</v>
      </c>
      <c r="G5" s="478" t="s">
        <v>120</v>
      </c>
      <c r="H5" s="478" t="s">
        <v>130</v>
      </c>
      <c r="I5" s="464" t="s">
        <v>440</v>
      </c>
    </row>
    <row r="6" spans="1:9" ht="31.5" x14ac:dyDescent="0.25">
      <c r="A6" s="466" t="s">
        <v>1</v>
      </c>
      <c r="B6" s="464" t="s">
        <v>369</v>
      </c>
      <c r="C6" s="464" t="s">
        <v>110</v>
      </c>
      <c r="D6" s="464" t="s">
        <v>295</v>
      </c>
      <c r="E6" s="464">
        <v>146</v>
      </c>
      <c r="F6" s="464" t="s">
        <v>388</v>
      </c>
      <c r="G6" s="464">
        <v>70000000</v>
      </c>
      <c r="H6" s="464">
        <v>343350</v>
      </c>
      <c r="I6" s="476">
        <v>1</v>
      </c>
    </row>
    <row r="7" spans="1:9" x14ac:dyDescent="0.25">
      <c r="B7" s="464"/>
      <c r="C7" s="464" t="s">
        <v>60</v>
      </c>
      <c r="D7" s="464" t="s">
        <v>133</v>
      </c>
      <c r="E7" s="464">
        <v>101</v>
      </c>
      <c r="F7" s="464" t="s">
        <v>327</v>
      </c>
      <c r="G7" s="464">
        <v>8000000</v>
      </c>
      <c r="H7" s="464">
        <v>133333</v>
      </c>
      <c r="I7" s="476">
        <v>1</v>
      </c>
    </row>
    <row r="8" spans="1:9" x14ac:dyDescent="0.25">
      <c r="B8" s="464"/>
      <c r="C8" s="464"/>
      <c r="D8" s="464"/>
      <c r="E8" s="464">
        <v>147</v>
      </c>
      <c r="F8" s="464" t="s">
        <v>322</v>
      </c>
      <c r="G8" s="464">
        <v>35000000</v>
      </c>
      <c r="H8" s="464">
        <v>7000000</v>
      </c>
      <c r="I8" s="476">
        <v>1</v>
      </c>
    </row>
    <row r="9" spans="1:9" x14ac:dyDescent="0.25">
      <c r="B9" s="464"/>
      <c r="C9" s="464"/>
      <c r="D9" s="464"/>
      <c r="E9" s="464">
        <v>185</v>
      </c>
      <c r="F9" s="464" t="s">
        <v>485</v>
      </c>
      <c r="G9" s="464">
        <v>6000000</v>
      </c>
      <c r="H9" s="464">
        <v>1680000</v>
      </c>
      <c r="I9" s="476">
        <v>1</v>
      </c>
    </row>
    <row r="10" spans="1:9" x14ac:dyDescent="0.25">
      <c r="B10" s="464"/>
      <c r="C10" s="464" t="s">
        <v>319</v>
      </c>
      <c r="D10" s="464" t="s">
        <v>471</v>
      </c>
      <c r="E10" s="464">
        <v>143</v>
      </c>
      <c r="F10" s="464" t="s">
        <v>318</v>
      </c>
      <c r="G10" s="464">
        <v>370000000</v>
      </c>
      <c r="H10" s="464">
        <v>77090312</v>
      </c>
      <c r="I10" s="476">
        <v>1</v>
      </c>
    </row>
    <row r="11" spans="1:9" x14ac:dyDescent="0.25">
      <c r="B11" s="479" t="s">
        <v>370</v>
      </c>
      <c r="C11" s="479" t="s">
        <v>60</v>
      </c>
      <c r="D11" s="479" t="s">
        <v>133</v>
      </c>
      <c r="E11" s="479">
        <v>147</v>
      </c>
      <c r="F11" s="479" t="s">
        <v>656</v>
      </c>
      <c r="G11" s="479">
        <v>7000000</v>
      </c>
      <c r="H11" s="464">
        <v>7000000</v>
      </c>
      <c r="I11" s="475">
        <v>1</v>
      </c>
    </row>
    <row r="12" spans="1:9" ht="28.5" customHeight="1" x14ac:dyDescent="0.25">
      <c r="B12" s="479"/>
      <c r="C12" s="479" t="s">
        <v>112</v>
      </c>
      <c r="D12" s="479" t="s">
        <v>397</v>
      </c>
      <c r="E12" s="479">
        <v>173</v>
      </c>
      <c r="F12" s="479" t="s">
        <v>682</v>
      </c>
      <c r="G12" s="479">
        <v>7200000</v>
      </c>
      <c r="H12" s="464">
        <v>7200000</v>
      </c>
      <c r="I12" s="475">
        <v>1</v>
      </c>
    </row>
    <row r="13" spans="1:9" x14ac:dyDescent="0.25">
      <c r="B13" s="479"/>
      <c r="C13" s="479"/>
      <c r="D13" s="479" t="s">
        <v>308</v>
      </c>
      <c r="E13" s="479">
        <v>149</v>
      </c>
      <c r="F13" s="479" t="s">
        <v>683</v>
      </c>
      <c r="G13" s="479">
        <v>73000000</v>
      </c>
      <c r="H13" s="464">
        <v>73000000</v>
      </c>
      <c r="I13" s="475">
        <v>1</v>
      </c>
    </row>
    <row r="14" spans="1:9" x14ac:dyDescent="0.25">
      <c r="B14" s="464" t="s">
        <v>590</v>
      </c>
      <c r="C14" s="464" t="s">
        <v>73</v>
      </c>
      <c r="D14" s="464" t="s">
        <v>73</v>
      </c>
      <c r="E14" s="464">
        <v>32</v>
      </c>
      <c r="F14" s="464" t="s">
        <v>72</v>
      </c>
      <c r="G14" s="464">
        <v>26500000</v>
      </c>
      <c r="H14" s="464">
        <v>26500000</v>
      </c>
      <c r="I14" s="476">
        <v>1</v>
      </c>
    </row>
    <row r="15" spans="1:9" ht="31.5" x14ac:dyDescent="0.25">
      <c r="A15" s="466" t="s">
        <v>431</v>
      </c>
      <c r="C15" s="466"/>
      <c r="D15" s="466"/>
      <c r="E15" s="466"/>
      <c r="F15" s="466"/>
      <c r="G15" s="466"/>
      <c r="H15" s="466"/>
      <c r="I15" s="476">
        <v>9</v>
      </c>
    </row>
    <row r="16" spans="1:9" ht="31.5" x14ac:dyDescent="0.25">
      <c r="A16" s="466" t="s">
        <v>5</v>
      </c>
      <c r="B16" s="479" t="s">
        <v>369</v>
      </c>
      <c r="C16" s="464" t="s">
        <v>109</v>
      </c>
      <c r="D16" s="464" t="s">
        <v>308</v>
      </c>
      <c r="E16" s="464">
        <v>166</v>
      </c>
      <c r="F16" s="464" t="s">
        <v>598</v>
      </c>
      <c r="G16" s="464">
        <v>10000000</v>
      </c>
      <c r="H16" s="464">
        <v>1000000</v>
      </c>
      <c r="I16" s="476">
        <v>1</v>
      </c>
    </row>
    <row r="17" spans="2:9" x14ac:dyDescent="0.25">
      <c r="B17" s="479"/>
      <c r="C17" s="464" t="s">
        <v>60</v>
      </c>
      <c r="D17" s="464" t="s">
        <v>133</v>
      </c>
      <c r="E17" s="464">
        <v>41</v>
      </c>
      <c r="F17" s="464" t="s">
        <v>533</v>
      </c>
      <c r="G17" s="464">
        <v>15250000</v>
      </c>
      <c r="H17" s="464">
        <v>1830000</v>
      </c>
      <c r="I17" s="476">
        <v>1</v>
      </c>
    </row>
    <row r="18" spans="2:9" x14ac:dyDescent="0.25">
      <c r="B18" s="479"/>
      <c r="C18" s="464"/>
      <c r="D18" s="464"/>
      <c r="E18" s="464">
        <v>43</v>
      </c>
      <c r="F18" s="464" t="s">
        <v>267</v>
      </c>
      <c r="G18" s="464">
        <v>18000000</v>
      </c>
      <c r="H18" s="464">
        <v>3200000</v>
      </c>
      <c r="I18" s="476">
        <v>1</v>
      </c>
    </row>
    <row r="19" spans="2:9" x14ac:dyDescent="0.25">
      <c r="B19" s="479"/>
      <c r="C19" s="464"/>
      <c r="D19" s="464"/>
      <c r="E19" s="464">
        <v>50</v>
      </c>
      <c r="F19" s="464" t="s">
        <v>534</v>
      </c>
      <c r="G19" s="464">
        <v>20000000</v>
      </c>
      <c r="H19" s="464">
        <v>4266667</v>
      </c>
      <c r="I19" s="476">
        <v>1</v>
      </c>
    </row>
    <row r="20" spans="2:9" x14ac:dyDescent="0.25">
      <c r="B20" s="479"/>
      <c r="C20" s="464"/>
      <c r="D20" s="464"/>
      <c r="E20" s="464">
        <v>52</v>
      </c>
      <c r="F20" s="464" t="s">
        <v>382</v>
      </c>
      <c r="G20" s="464">
        <v>7263333</v>
      </c>
      <c r="H20" s="464">
        <v>463333</v>
      </c>
      <c r="I20" s="476">
        <v>1</v>
      </c>
    </row>
    <row r="21" spans="2:9" x14ac:dyDescent="0.25">
      <c r="B21" s="479"/>
      <c r="C21" s="464"/>
      <c r="D21" s="464"/>
      <c r="E21" s="464">
        <v>163</v>
      </c>
      <c r="F21" s="464" t="s">
        <v>282</v>
      </c>
      <c r="G21" s="464">
        <v>15000000</v>
      </c>
      <c r="H21" s="464">
        <v>1600000</v>
      </c>
      <c r="I21" s="476">
        <v>1</v>
      </c>
    </row>
    <row r="22" spans="2:9" x14ac:dyDescent="0.25">
      <c r="B22" s="479"/>
      <c r="C22" s="464"/>
      <c r="D22" s="464"/>
      <c r="E22" s="464">
        <v>164</v>
      </c>
      <c r="F22" s="464" t="s">
        <v>283</v>
      </c>
      <c r="G22" s="464">
        <v>28000000</v>
      </c>
      <c r="H22" s="464">
        <v>4900000</v>
      </c>
      <c r="I22" s="476">
        <v>1</v>
      </c>
    </row>
    <row r="23" spans="2:9" x14ac:dyDescent="0.25">
      <c r="B23" s="479"/>
      <c r="C23" s="464"/>
      <c r="D23" s="464"/>
      <c r="E23" s="464">
        <v>243</v>
      </c>
      <c r="F23" s="464" t="s">
        <v>532</v>
      </c>
      <c r="G23" s="464">
        <v>13500000</v>
      </c>
      <c r="H23" s="464">
        <v>1900000</v>
      </c>
      <c r="I23" s="476">
        <v>1</v>
      </c>
    </row>
    <row r="24" spans="2:9" x14ac:dyDescent="0.25">
      <c r="B24" s="479"/>
      <c r="C24" s="464"/>
      <c r="D24" s="464" t="s">
        <v>308</v>
      </c>
      <c r="E24" s="464">
        <v>168</v>
      </c>
      <c r="F24" s="464" t="s">
        <v>387</v>
      </c>
      <c r="G24" s="464">
        <v>6593200</v>
      </c>
      <c r="H24" s="464">
        <v>33200</v>
      </c>
      <c r="I24" s="475">
        <v>1</v>
      </c>
    </row>
    <row r="25" spans="2:9" x14ac:dyDescent="0.25">
      <c r="B25" s="479"/>
      <c r="C25" s="464"/>
      <c r="D25" s="464"/>
      <c r="E25" s="464">
        <v>177</v>
      </c>
      <c r="F25" s="464" t="s">
        <v>386</v>
      </c>
      <c r="G25" s="464">
        <v>5433800</v>
      </c>
      <c r="H25" s="464">
        <v>11900</v>
      </c>
      <c r="I25" s="476">
        <v>1</v>
      </c>
    </row>
    <row r="26" spans="2:9" x14ac:dyDescent="0.25">
      <c r="B26" s="479" t="s">
        <v>374</v>
      </c>
      <c r="C26" s="479" t="s">
        <v>109</v>
      </c>
      <c r="D26" s="479" t="s">
        <v>308</v>
      </c>
      <c r="E26" s="479">
        <v>246</v>
      </c>
      <c r="F26" s="479" t="s">
        <v>644</v>
      </c>
      <c r="G26" s="479">
        <v>5878712</v>
      </c>
      <c r="H26" s="464">
        <v>5878712</v>
      </c>
      <c r="I26" s="475">
        <v>1</v>
      </c>
    </row>
    <row r="27" spans="2:9" x14ac:dyDescent="0.25">
      <c r="B27" s="479"/>
      <c r="C27" s="464" t="s">
        <v>60</v>
      </c>
      <c r="D27" s="464" t="s">
        <v>133</v>
      </c>
      <c r="E27" s="464">
        <v>161</v>
      </c>
      <c r="F27" s="464" t="s">
        <v>678</v>
      </c>
      <c r="G27" s="464">
        <v>8000000</v>
      </c>
      <c r="H27" s="464">
        <v>8000000</v>
      </c>
      <c r="I27" s="475">
        <v>1</v>
      </c>
    </row>
    <row r="28" spans="2:9" x14ac:dyDescent="0.25">
      <c r="B28" s="479"/>
      <c r="C28" s="479" t="s">
        <v>70</v>
      </c>
      <c r="D28" s="479" t="s">
        <v>389</v>
      </c>
      <c r="E28" s="479">
        <v>167</v>
      </c>
      <c r="F28" s="479" t="s">
        <v>352</v>
      </c>
      <c r="G28" s="479">
        <v>20000000</v>
      </c>
      <c r="H28" s="464">
        <v>20000000</v>
      </c>
      <c r="I28" s="475">
        <v>1</v>
      </c>
    </row>
    <row r="29" spans="2:9" x14ac:dyDescent="0.25">
      <c r="B29" s="479"/>
      <c r="C29" s="479" t="s">
        <v>113</v>
      </c>
      <c r="D29" s="479" t="s">
        <v>308</v>
      </c>
      <c r="E29" s="479">
        <v>57</v>
      </c>
      <c r="F29" s="479" t="s">
        <v>69</v>
      </c>
      <c r="G29" s="479">
        <v>12000000</v>
      </c>
      <c r="H29" s="464">
        <v>12000000</v>
      </c>
      <c r="I29" s="475">
        <v>1</v>
      </c>
    </row>
    <row r="30" spans="2:9" x14ac:dyDescent="0.25">
      <c r="B30" s="479" t="s">
        <v>370</v>
      </c>
      <c r="C30" s="479" t="s">
        <v>109</v>
      </c>
      <c r="D30" s="464" t="s">
        <v>308</v>
      </c>
      <c r="E30" s="479">
        <v>244</v>
      </c>
      <c r="F30" s="479" t="s">
        <v>583</v>
      </c>
      <c r="G30" s="479">
        <v>38000000</v>
      </c>
      <c r="H30" s="464">
        <v>38000000</v>
      </c>
      <c r="I30" s="475">
        <v>1</v>
      </c>
    </row>
    <row r="31" spans="2:9" x14ac:dyDescent="0.25">
      <c r="B31" s="479"/>
      <c r="C31" s="479" t="s">
        <v>60</v>
      </c>
      <c r="D31" s="479" t="s">
        <v>133</v>
      </c>
      <c r="E31" s="479">
        <v>52</v>
      </c>
      <c r="F31" s="480" t="s">
        <v>695</v>
      </c>
      <c r="G31" s="479">
        <v>736667</v>
      </c>
      <c r="H31" s="464">
        <v>736667</v>
      </c>
      <c r="I31" s="475">
        <v>1</v>
      </c>
    </row>
    <row r="32" spans="2:9" x14ac:dyDescent="0.25">
      <c r="B32" s="479"/>
      <c r="C32" s="479" t="s">
        <v>70</v>
      </c>
      <c r="D32" s="481" t="s">
        <v>308</v>
      </c>
      <c r="E32" s="479">
        <v>179</v>
      </c>
      <c r="F32" s="479" t="s">
        <v>380</v>
      </c>
      <c r="G32" s="479">
        <v>15000000</v>
      </c>
      <c r="H32" s="464">
        <v>15000000</v>
      </c>
      <c r="I32" s="475">
        <v>1</v>
      </c>
    </row>
    <row r="33" spans="1:9" x14ac:dyDescent="0.25">
      <c r="B33" s="479" t="s">
        <v>590</v>
      </c>
      <c r="C33" s="464" t="s">
        <v>73</v>
      </c>
      <c r="D33" s="464" t="s">
        <v>73</v>
      </c>
      <c r="E33" s="464">
        <v>62</v>
      </c>
      <c r="F33" s="464" t="s">
        <v>72</v>
      </c>
      <c r="G33" s="464">
        <v>9898397</v>
      </c>
      <c r="H33" s="464">
        <v>8181522</v>
      </c>
      <c r="I33" s="476">
        <v>1</v>
      </c>
    </row>
    <row r="34" spans="1:9" ht="31.5" x14ac:dyDescent="0.25">
      <c r="A34" s="466" t="s">
        <v>432</v>
      </c>
      <c r="C34" s="466"/>
      <c r="D34" s="466"/>
      <c r="E34" s="466"/>
      <c r="F34" s="466"/>
      <c r="G34" s="466"/>
      <c r="H34" s="466"/>
      <c r="I34" s="476">
        <v>18</v>
      </c>
    </row>
    <row r="35" spans="1:9" x14ac:dyDescent="0.25">
      <c r="A35" s="464" t="s">
        <v>0</v>
      </c>
      <c r="B35" s="464" t="s">
        <v>369</v>
      </c>
      <c r="C35" s="464" t="s">
        <v>60</v>
      </c>
      <c r="D35" s="464" t="s">
        <v>133</v>
      </c>
      <c r="E35" s="464">
        <v>102</v>
      </c>
      <c r="F35" s="464" t="s">
        <v>251</v>
      </c>
      <c r="G35" s="464">
        <v>39000000</v>
      </c>
      <c r="H35" s="464">
        <v>866667</v>
      </c>
      <c r="I35" s="476">
        <v>1</v>
      </c>
    </row>
    <row r="36" spans="1:9" x14ac:dyDescent="0.25">
      <c r="A36" s="464"/>
      <c r="B36" s="464"/>
      <c r="C36" s="464"/>
      <c r="D36" s="464"/>
      <c r="E36" s="464">
        <v>109</v>
      </c>
      <c r="F36" s="464" t="s">
        <v>333</v>
      </c>
      <c r="G36" s="464">
        <v>22000000</v>
      </c>
      <c r="H36" s="464">
        <v>4600000</v>
      </c>
      <c r="I36" s="476">
        <v>1</v>
      </c>
    </row>
    <row r="37" spans="1:9" x14ac:dyDescent="0.25">
      <c r="A37" s="464"/>
      <c r="B37" s="464"/>
      <c r="C37" s="464"/>
      <c r="D37" s="464"/>
      <c r="E37" s="464">
        <v>152</v>
      </c>
      <c r="F37" s="464" t="s">
        <v>335</v>
      </c>
      <c r="G37" s="464">
        <v>48000000</v>
      </c>
      <c r="H37" s="464">
        <v>6666667</v>
      </c>
      <c r="I37" s="476">
        <v>1</v>
      </c>
    </row>
    <row r="38" spans="1:9" x14ac:dyDescent="0.25">
      <c r="A38" s="464"/>
      <c r="B38" s="464"/>
      <c r="C38" s="464"/>
      <c r="D38" s="464"/>
      <c r="E38" s="464">
        <v>155</v>
      </c>
      <c r="F38" s="464" t="s">
        <v>546</v>
      </c>
      <c r="G38" s="464">
        <v>15000000</v>
      </c>
      <c r="H38" s="464">
        <v>500000</v>
      </c>
      <c r="I38" s="476">
        <v>1</v>
      </c>
    </row>
    <row r="39" spans="1:9" x14ac:dyDescent="0.25">
      <c r="A39" s="464"/>
      <c r="B39" s="464"/>
      <c r="C39" s="464"/>
      <c r="D39" s="464"/>
      <c r="E39" s="464">
        <v>157</v>
      </c>
      <c r="F39" s="464" t="s">
        <v>545</v>
      </c>
      <c r="G39" s="464">
        <v>13500000</v>
      </c>
      <c r="H39" s="464">
        <v>4650000</v>
      </c>
      <c r="I39" s="476">
        <v>1</v>
      </c>
    </row>
    <row r="40" spans="1:9" x14ac:dyDescent="0.25">
      <c r="A40" s="464"/>
      <c r="B40" s="464" t="s">
        <v>590</v>
      </c>
      <c r="C40" s="464" t="s">
        <v>73</v>
      </c>
      <c r="D40" s="464" t="s">
        <v>73</v>
      </c>
      <c r="E40" s="464">
        <v>39</v>
      </c>
      <c r="F40" s="464" t="s">
        <v>72</v>
      </c>
      <c r="G40" s="464">
        <v>20566667</v>
      </c>
      <c r="H40" s="464">
        <v>19066667</v>
      </c>
      <c r="I40" s="476">
        <v>1</v>
      </c>
    </row>
    <row r="41" spans="1:9" x14ac:dyDescent="0.25">
      <c r="A41" s="464" t="s">
        <v>434</v>
      </c>
      <c r="B41" s="464"/>
      <c r="C41" s="464"/>
      <c r="D41" s="464"/>
      <c r="E41" s="464"/>
      <c r="F41" s="464"/>
      <c r="G41" s="464"/>
      <c r="H41" s="464"/>
      <c r="I41" s="476">
        <v>6</v>
      </c>
    </row>
    <row r="42" spans="1:9" x14ac:dyDescent="0.25">
      <c r="A42" s="464" t="s">
        <v>4</v>
      </c>
      <c r="B42" s="464" t="s">
        <v>590</v>
      </c>
      <c r="C42" s="464" t="s">
        <v>73</v>
      </c>
      <c r="D42" s="464" t="s">
        <v>73</v>
      </c>
      <c r="E42" s="464">
        <v>25</v>
      </c>
      <c r="F42" s="464" t="s">
        <v>72</v>
      </c>
      <c r="G42" s="464">
        <v>1900000</v>
      </c>
      <c r="H42" s="464">
        <v>1900000</v>
      </c>
      <c r="I42" s="476">
        <v>1</v>
      </c>
    </row>
    <row r="43" spans="1:9" x14ac:dyDescent="0.25">
      <c r="A43" s="464" t="s">
        <v>435</v>
      </c>
      <c r="B43" s="464"/>
      <c r="C43" s="464"/>
      <c r="D43" s="464"/>
      <c r="E43" s="464"/>
      <c r="F43" s="464"/>
      <c r="G43" s="464"/>
      <c r="H43" s="464"/>
      <c r="I43" s="476">
        <v>1</v>
      </c>
    </row>
    <row r="44" spans="1:9" ht="31.5" x14ac:dyDescent="0.25">
      <c r="A44" s="466" t="s">
        <v>3</v>
      </c>
      <c r="B44" s="479" t="s">
        <v>369</v>
      </c>
      <c r="C44" s="464" t="s">
        <v>60</v>
      </c>
      <c r="D44" s="464" t="s">
        <v>133</v>
      </c>
      <c r="E44" s="464">
        <v>135</v>
      </c>
      <c r="F44" s="464" t="s">
        <v>653</v>
      </c>
      <c r="G44" s="464">
        <v>3850000</v>
      </c>
      <c r="H44" s="464">
        <v>1293333</v>
      </c>
      <c r="I44" s="475">
        <v>1</v>
      </c>
    </row>
    <row r="45" spans="1:9" x14ac:dyDescent="0.25">
      <c r="B45" s="479" t="s">
        <v>374</v>
      </c>
      <c r="C45" s="479" t="s">
        <v>110</v>
      </c>
      <c r="D45" s="479" t="s">
        <v>295</v>
      </c>
      <c r="E45" s="479">
        <v>141</v>
      </c>
      <c r="F45" s="479" t="s">
        <v>309</v>
      </c>
      <c r="G45" s="479">
        <v>456572072</v>
      </c>
      <c r="H45" s="464">
        <v>456572072</v>
      </c>
      <c r="I45" s="475">
        <v>1</v>
      </c>
    </row>
    <row r="46" spans="1:9" x14ac:dyDescent="0.25">
      <c r="B46" s="479" t="s">
        <v>370</v>
      </c>
      <c r="C46" s="479" t="s">
        <v>60</v>
      </c>
      <c r="D46" s="479" t="s">
        <v>299</v>
      </c>
      <c r="E46" s="479">
        <v>13</v>
      </c>
      <c r="F46" s="479" t="s">
        <v>659</v>
      </c>
      <c r="G46" s="479">
        <v>300000000</v>
      </c>
      <c r="H46" s="464">
        <v>300000000</v>
      </c>
      <c r="I46" s="475">
        <v>1</v>
      </c>
    </row>
    <row r="47" spans="1:9" x14ac:dyDescent="0.25">
      <c r="B47" s="479" t="s">
        <v>590</v>
      </c>
      <c r="C47" s="464" t="s">
        <v>73</v>
      </c>
      <c r="D47" s="464" t="s">
        <v>73</v>
      </c>
      <c r="E47" s="464">
        <v>20</v>
      </c>
      <c r="F47" s="464" t="s">
        <v>72</v>
      </c>
      <c r="G47" s="464">
        <v>28134131</v>
      </c>
      <c r="H47" s="464">
        <v>28134131</v>
      </c>
      <c r="I47" s="476">
        <v>1</v>
      </c>
    </row>
    <row r="48" spans="1:9" ht="47.25" x14ac:dyDescent="0.25">
      <c r="A48" s="466" t="s">
        <v>436</v>
      </c>
      <c r="C48" s="466"/>
      <c r="D48" s="466"/>
      <c r="E48" s="466"/>
      <c r="F48" s="466"/>
      <c r="G48" s="466"/>
      <c r="H48" s="466"/>
      <c r="I48" s="476">
        <v>4</v>
      </c>
    </row>
    <row r="49" spans="1:9" ht="47.25" x14ac:dyDescent="0.25">
      <c r="A49" s="466" t="s">
        <v>19</v>
      </c>
      <c r="B49" s="479" t="s">
        <v>369</v>
      </c>
      <c r="C49" s="464" t="s">
        <v>60</v>
      </c>
      <c r="D49" s="464" t="s">
        <v>133</v>
      </c>
      <c r="E49" s="464">
        <v>92</v>
      </c>
      <c r="F49" s="464" t="s">
        <v>296</v>
      </c>
      <c r="G49" s="464">
        <v>9000000</v>
      </c>
      <c r="H49" s="464">
        <v>2700000</v>
      </c>
      <c r="I49" s="475">
        <v>1</v>
      </c>
    </row>
    <row r="50" spans="1:9" x14ac:dyDescent="0.25">
      <c r="B50" s="479"/>
      <c r="C50" s="464"/>
      <c r="D50" s="464"/>
      <c r="E50" s="464">
        <v>129</v>
      </c>
      <c r="F50" s="464" t="s">
        <v>292</v>
      </c>
      <c r="G50" s="464">
        <v>16500000</v>
      </c>
      <c r="H50" s="464">
        <v>11500000</v>
      </c>
      <c r="I50" s="475">
        <v>1</v>
      </c>
    </row>
    <row r="51" spans="1:9" x14ac:dyDescent="0.25">
      <c r="B51" s="479"/>
      <c r="C51" s="464" t="s">
        <v>319</v>
      </c>
      <c r="D51" s="464" t="s">
        <v>308</v>
      </c>
      <c r="E51" s="464">
        <v>132</v>
      </c>
      <c r="F51" s="464" t="s">
        <v>354</v>
      </c>
      <c r="G51" s="464">
        <v>250000000</v>
      </c>
      <c r="H51" s="464">
        <v>23372000</v>
      </c>
      <c r="I51" s="475">
        <v>1</v>
      </c>
    </row>
    <row r="52" spans="1:9" x14ac:dyDescent="0.25">
      <c r="B52" s="479" t="s">
        <v>590</v>
      </c>
      <c r="C52" s="464" t="s">
        <v>73</v>
      </c>
      <c r="D52" s="464" t="s">
        <v>73</v>
      </c>
      <c r="E52" s="464">
        <v>12</v>
      </c>
      <c r="F52" s="464" t="s">
        <v>72</v>
      </c>
      <c r="G52" s="464">
        <v>48000000</v>
      </c>
      <c r="H52" s="464">
        <v>48000000</v>
      </c>
      <c r="I52" s="476">
        <v>1</v>
      </c>
    </row>
    <row r="53" spans="1:9" ht="47.25" x14ac:dyDescent="0.25">
      <c r="A53" s="466" t="s">
        <v>437</v>
      </c>
      <c r="C53" s="466"/>
      <c r="D53" s="466"/>
      <c r="E53" s="466"/>
      <c r="F53" s="466"/>
      <c r="G53" s="466"/>
      <c r="H53" s="466"/>
      <c r="I53" s="476">
        <v>4</v>
      </c>
    </row>
    <row r="54" spans="1:9" x14ac:dyDescent="0.25">
      <c r="A54" s="466" t="s">
        <v>36</v>
      </c>
      <c r="B54" s="479" t="s">
        <v>369</v>
      </c>
      <c r="C54" s="464" t="s">
        <v>109</v>
      </c>
      <c r="D54" s="464" t="s">
        <v>308</v>
      </c>
      <c r="E54" s="464">
        <v>69</v>
      </c>
      <c r="F54" s="464" t="s">
        <v>80</v>
      </c>
      <c r="G54" s="464">
        <v>23300000</v>
      </c>
      <c r="H54" s="464">
        <v>6145213</v>
      </c>
      <c r="I54" s="476">
        <v>1</v>
      </c>
    </row>
    <row r="55" spans="1:9" x14ac:dyDescent="0.25">
      <c r="B55" s="479"/>
      <c r="C55" s="464" t="s">
        <v>60</v>
      </c>
      <c r="D55" s="464" t="s">
        <v>133</v>
      </c>
      <c r="E55" s="464">
        <v>67</v>
      </c>
      <c r="F55" s="464" t="s">
        <v>77</v>
      </c>
      <c r="G55" s="464">
        <v>13922228</v>
      </c>
      <c r="H55" s="464">
        <v>322228</v>
      </c>
      <c r="I55" s="476">
        <v>1</v>
      </c>
    </row>
    <row r="56" spans="1:9" x14ac:dyDescent="0.25">
      <c r="B56" s="479"/>
      <c r="C56" s="464"/>
      <c r="D56" s="464" t="s">
        <v>308</v>
      </c>
      <c r="E56" s="464">
        <v>81</v>
      </c>
      <c r="F56" s="464" t="s">
        <v>92</v>
      </c>
      <c r="G56" s="464">
        <v>48000000</v>
      </c>
      <c r="H56" s="464">
        <v>173886</v>
      </c>
      <c r="I56" s="476">
        <v>1</v>
      </c>
    </row>
    <row r="57" spans="1:9" x14ac:dyDescent="0.25">
      <c r="B57" s="479" t="s">
        <v>374</v>
      </c>
      <c r="C57" s="479" t="s">
        <v>109</v>
      </c>
      <c r="D57" s="479" t="s">
        <v>389</v>
      </c>
      <c r="E57" s="479">
        <v>68</v>
      </c>
      <c r="F57" s="479" t="s">
        <v>79</v>
      </c>
      <c r="G57" s="479">
        <v>6500000</v>
      </c>
      <c r="H57" s="464">
        <v>6500000</v>
      </c>
      <c r="I57" s="475">
        <v>1</v>
      </c>
    </row>
    <row r="58" spans="1:9" x14ac:dyDescent="0.25">
      <c r="B58" s="479" t="s">
        <v>370</v>
      </c>
      <c r="C58" s="479" t="s">
        <v>60</v>
      </c>
      <c r="D58" s="479" t="s">
        <v>308</v>
      </c>
      <c r="E58" s="479">
        <v>71</v>
      </c>
      <c r="F58" s="479" t="s">
        <v>82</v>
      </c>
      <c r="G58" s="479">
        <v>10662400</v>
      </c>
      <c r="H58" s="464">
        <v>10662400</v>
      </c>
      <c r="I58" s="475">
        <v>1</v>
      </c>
    </row>
    <row r="59" spans="1:9" x14ac:dyDescent="0.25">
      <c r="B59" s="479"/>
      <c r="C59" s="479" t="s">
        <v>70</v>
      </c>
      <c r="D59" s="479" t="s">
        <v>389</v>
      </c>
      <c r="E59" s="479">
        <v>82</v>
      </c>
      <c r="F59" s="479" t="s">
        <v>93</v>
      </c>
      <c r="G59" s="479">
        <v>11500000</v>
      </c>
      <c r="H59" s="464">
        <v>11500000</v>
      </c>
      <c r="I59" s="475">
        <v>1</v>
      </c>
    </row>
    <row r="60" spans="1:9" x14ac:dyDescent="0.25">
      <c r="B60" s="479"/>
      <c r="C60" s="479"/>
      <c r="D60" s="479"/>
      <c r="E60" s="479">
        <v>254</v>
      </c>
      <c r="F60" s="479" t="s">
        <v>697</v>
      </c>
      <c r="G60" s="479">
        <v>4000000</v>
      </c>
      <c r="H60" s="464">
        <v>4000000</v>
      </c>
      <c r="I60" s="475">
        <v>1</v>
      </c>
    </row>
    <row r="61" spans="1:9" x14ac:dyDescent="0.25">
      <c r="B61" s="479" t="s">
        <v>423</v>
      </c>
      <c r="C61" s="464" t="s">
        <v>70</v>
      </c>
      <c r="D61" s="464" t="s">
        <v>308</v>
      </c>
      <c r="E61" s="464">
        <v>70</v>
      </c>
      <c r="F61" s="464" t="s">
        <v>81</v>
      </c>
      <c r="G61" s="464">
        <v>3715372</v>
      </c>
      <c r="H61" s="464">
        <v>3715372</v>
      </c>
      <c r="I61" s="476">
        <v>1</v>
      </c>
    </row>
    <row r="62" spans="1:9" x14ac:dyDescent="0.25">
      <c r="B62" s="479" t="s">
        <v>584</v>
      </c>
      <c r="C62" s="464" t="s">
        <v>70</v>
      </c>
      <c r="D62" s="464" t="s">
        <v>389</v>
      </c>
      <c r="E62" s="464">
        <v>184</v>
      </c>
      <c r="F62" s="464" t="s">
        <v>470</v>
      </c>
      <c r="G62" s="464">
        <v>4000000</v>
      </c>
      <c r="H62" s="464">
        <v>4000000</v>
      </c>
      <c r="I62" s="475">
        <v>1</v>
      </c>
    </row>
    <row r="63" spans="1:9" x14ac:dyDescent="0.25">
      <c r="A63" s="466" t="s">
        <v>433</v>
      </c>
      <c r="C63" s="466"/>
      <c r="D63" s="466"/>
      <c r="E63" s="466"/>
      <c r="F63" s="466"/>
      <c r="G63" s="466"/>
      <c r="H63" s="466"/>
      <c r="I63" s="476">
        <v>9</v>
      </c>
    </row>
    <row r="64" spans="1:9" x14ac:dyDescent="0.25">
      <c r="A64" s="466" t="s">
        <v>364</v>
      </c>
      <c r="C64" s="466"/>
      <c r="D64" s="466"/>
      <c r="E64" s="466"/>
      <c r="F64" s="466"/>
      <c r="G64" s="466"/>
      <c r="H64" s="466"/>
      <c r="I64" s="476">
        <v>51</v>
      </c>
    </row>
    <row r="65" spans="1:9" x14ac:dyDescent="0.25">
      <c r="A65"/>
      <c r="B65"/>
      <c r="C65"/>
      <c r="D65"/>
      <c r="E65"/>
      <c r="F65"/>
      <c r="G65"/>
      <c r="H65"/>
      <c r="I65"/>
    </row>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row r="69" spans="1:9" x14ac:dyDescent="0.25">
      <c r="A69"/>
      <c r="B69"/>
      <c r="C69"/>
      <c r="D69"/>
      <c r="E69"/>
      <c r="F69"/>
      <c r="G69"/>
      <c r="H69"/>
      <c r="I69"/>
    </row>
    <row r="70" spans="1:9" x14ac:dyDescent="0.25">
      <c r="A70"/>
      <c r="B70"/>
      <c r="C70"/>
      <c r="D70"/>
      <c r="E70"/>
      <c r="F70"/>
      <c r="G70"/>
      <c r="H70"/>
      <c r="I70"/>
    </row>
    <row r="71" spans="1:9" x14ac:dyDescent="0.25">
      <c r="A71"/>
      <c r="B71"/>
      <c r="C71"/>
      <c r="D71"/>
      <c r="E71"/>
      <c r="F71"/>
      <c r="G71"/>
      <c r="H71"/>
      <c r="I71"/>
    </row>
    <row r="72" spans="1:9" x14ac:dyDescent="0.25">
      <c r="A72"/>
      <c r="B72"/>
      <c r="C72"/>
      <c r="D72"/>
      <c r="E72"/>
      <c r="F72"/>
      <c r="G72"/>
      <c r="H72"/>
      <c r="I72"/>
    </row>
    <row r="73" spans="1:9" x14ac:dyDescent="0.25">
      <c r="A73"/>
      <c r="B73"/>
      <c r="C73"/>
      <c r="D73"/>
      <c r="E73"/>
      <c r="F73"/>
      <c r="G73"/>
      <c r="H73"/>
      <c r="I73"/>
    </row>
    <row r="74" spans="1:9" x14ac:dyDescent="0.25">
      <c r="A74"/>
      <c r="B74"/>
      <c r="C74"/>
      <c r="D74"/>
      <c r="E74"/>
      <c r="F74"/>
      <c r="G74"/>
      <c r="H74"/>
      <c r="I74"/>
    </row>
    <row r="75" spans="1:9" x14ac:dyDescent="0.25">
      <c r="A75"/>
      <c r="B75"/>
      <c r="C75"/>
      <c r="D75"/>
      <c r="E75"/>
      <c r="F75"/>
      <c r="G75"/>
      <c r="H75"/>
      <c r="I75"/>
    </row>
    <row r="76" spans="1:9" x14ac:dyDescent="0.25">
      <c r="A76"/>
      <c r="B76"/>
      <c r="C76"/>
      <c r="D76"/>
      <c r="E76"/>
      <c r="F76"/>
      <c r="G76"/>
      <c r="H76"/>
      <c r="I76"/>
    </row>
    <row r="77" spans="1:9" x14ac:dyDescent="0.25">
      <c r="A77"/>
      <c r="B77"/>
      <c r="C77"/>
      <c r="D77"/>
      <c r="E77"/>
      <c r="F77"/>
      <c r="G77"/>
      <c r="H77"/>
      <c r="I77"/>
    </row>
    <row r="78" spans="1:9" x14ac:dyDescent="0.25">
      <c r="A78"/>
      <c r="B78"/>
      <c r="C78"/>
      <c r="D78"/>
      <c r="E78"/>
      <c r="F78"/>
      <c r="G78"/>
      <c r="H78"/>
      <c r="I78"/>
    </row>
    <row r="79" spans="1:9" x14ac:dyDescent="0.25">
      <c r="A79"/>
      <c r="B79"/>
      <c r="C79"/>
      <c r="D79"/>
      <c r="E79"/>
      <c r="F79"/>
      <c r="G79"/>
      <c r="H79"/>
      <c r="I79"/>
    </row>
    <row r="80" spans="1:9" x14ac:dyDescent="0.25">
      <c r="A80"/>
      <c r="B80"/>
      <c r="C80"/>
      <c r="D80"/>
      <c r="E80"/>
      <c r="F80"/>
      <c r="G80"/>
      <c r="H80"/>
      <c r="I80"/>
    </row>
    <row r="81" spans="1:9" x14ac:dyDescent="0.25">
      <c r="A81"/>
      <c r="B81"/>
      <c r="C81"/>
      <c r="D81"/>
      <c r="E81"/>
      <c r="F81"/>
      <c r="G81"/>
      <c r="H81"/>
      <c r="I81"/>
    </row>
    <row r="82" spans="1:9" x14ac:dyDescent="0.25">
      <c r="A82"/>
      <c r="B82"/>
      <c r="C82"/>
      <c r="D82"/>
      <c r="E82"/>
      <c r="F82"/>
      <c r="G82"/>
      <c r="H82"/>
      <c r="I82"/>
    </row>
    <row r="83" spans="1:9" x14ac:dyDescent="0.25">
      <c r="A83"/>
      <c r="B83"/>
      <c r="C83"/>
      <c r="D83"/>
      <c r="E83"/>
      <c r="F83"/>
      <c r="G83"/>
      <c r="H83"/>
      <c r="I83"/>
    </row>
    <row r="84" spans="1:9" x14ac:dyDescent="0.25">
      <c r="A84"/>
      <c r="B84"/>
      <c r="C84"/>
      <c r="D84"/>
      <c r="E84"/>
      <c r="F84"/>
      <c r="G84"/>
      <c r="H84"/>
      <c r="I84"/>
    </row>
    <row r="85" spans="1:9" x14ac:dyDescent="0.25">
      <c r="A85"/>
      <c r="B85"/>
      <c r="C85"/>
      <c r="D85"/>
      <c r="E85"/>
      <c r="F85"/>
      <c r="G85"/>
      <c r="H85"/>
      <c r="I85"/>
    </row>
    <row r="86" spans="1:9" x14ac:dyDescent="0.25">
      <c r="A86"/>
      <c r="B86"/>
      <c r="C86"/>
      <c r="D86"/>
      <c r="E86"/>
      <c r="F86"/>
      <c r="G86"/>
      <c r="H86"/>
      <c r="I86"/>
    </row>
    <row r="87" spans="1:9" x14ac:dyDescent="0.25">
      <c r="A87"/>
      <c r="B87"/>
      <c r="C87"/>
      <c r="D87"/>
      <c r="E87"/>
      <c r="F87"/>
      <c r="G87"/>
      <c r="H87"/>
      <c r="I87"/>
    </row>
    <row r="88" spans="1:9" x14ac:dyDescent="0.25">
      <c r="A88"/>
      <c r="B88"/>
      <c r="C88"/>
      <c r="D88"/>
      <c r="E88"/>
      <c r="F88"/>
      <c r="G88"/>
      <c r="H88"/>
      <c r="I88"/>
    </row>
    <row r="89" spans="1:9" x14ac:dyDescent="0.25">
      <c r="A89"/>
      <c r="B89"/>
      <c r="C89"/>
      <c r="D89"/>
      <c r="E89"/>
      <c r="F89"/>
      <c r="G89"/>
      <c r="H89"/>
      <c r="I89"/>
    </row>
    <row r="90" spans="1:9" x14ac:dyDescent="0.25">
      <c r="A90"/>
      <c r="B90"/>
      <c r="C90"/>
      <c r="D90"/>
      <c r="E90"/>
      <c r="F90"/>
      <c r="G90"/>
      <c r="H90"/>
      <c r="I90"/>
    </row>
    <row r="91" spans="1:9" x14ac:dyDescent="0.25">
      <c r="A91"/>
      <c r="B91"/>
      <c r="C91"/>
      <c r="D91"/>
      <c r="E91"/>
      <c r="F91"/>
      <c r="G91"/>
      <c r="H91"/>
      <c r="I91"/>
    </row>
    <row r="92" spans="1:9" x14ac:dyDescent="0.25">
      <c r="A92"/>
      <c r="B92"/>
      <c r="C92"/>
      <c r="D92"/>
      <c r="E92"/>
      <c r="F92"/>
      <c r="G92"/>
      <c r="H92"/>
      <c r="I92"/>
    </row>
    <row r="93" spans="1:9" x14ac:dyDescent="0.25">
      <c r="A93"/>
      <c r="B93"/>
      <c r="C93"/>
      <c r="D93"/>
      <c r="E93"/>
      <c r="F93"/>
      <c r="G93"/>
      <c r="H93"/>
      <c r="I93"/>
    </row>
    <row r="94" spans="1:9" x14ac:dyDescent="0.25">
      <c r="A94"/>
      <c r="B94"/>
      <c r="C94"/>
      <c r="D94"/>
      <c r="E94"/>
      <c r="F94"/>
      <c r="G94"/>
      <c r="H94"/>
      <c r="I94"/>
    </row>
    <row r="95" spans="1:9" x14ac:dyDescent="0.25">
      <c r="A95"/>
      <c r="B95"/>
      <c r="C95"/>
      <c r="D95"/>
      <c r="E95"/>
      <c r="F95"/>
      <c r="G95"/>
      <c r="H95"/>
      <c r="I95"/>
    </row>
    <row r="96" spans="1:9" x14ac:dyDescent="0.25">
      <c r="A96"/>
      <c r="B96"/>
      <c r="C96"/>
      <c r="D96"/>
      <c r="E96"/>
      <c r="F96"/>
      <c r="G96"/>
      <c r="H96"/>
      <c r="I96"/>
    </row>
    <row r="97" spans="1:9" x14ac:dyDescent="0.25">
      <c r="A97"/>
      <c r="B97"/>
      <c r="C97"/>
      <c r="D97"/>
      <c r="E97"/>
      <c r="F97"/>
      <c r="G97"/>
      <c r="H97"/>
      <c r="I97"/>
    </row>
    <row r="98" spans="1:9" x14ac:dyDescent="0.25">
      <c r="A98"/>
      <c r="B98"/>
      <c r="C98"/>
      <c r="D98"/>
      <c r="E98"/>
      <c r="F98"/>
      <c r="G98"/>
      <c r="H98"/>
      <c r="I98"/>
    </row>
    <row r="99" spans="1:9" x14ac:dyDescent="0.25">
      <c r="A99"/>
      <c r="B99"/>
      <c r="C99"/>
      <c r="D99"/>
      <c r="E99"/>
      <c r="F99"/>
      <c r="G99"/>
      <c r="H99"/>
      <c r="I99"/>
    </row>
    <row r="100" spans="1:9" x14ac:dyDescent="0.25">
      <c r="A100"/>
      <c r="B100"/>
      <c r="C100"/>
      <c r="D100"/>
      <c r="E100"/>
      <c r="F100"/>
      <c r="G100"/>
      <c r="H100"/>
      <c r="I100"/>
    </row>
    <row r="101" spans="1:9" x14ac:dyDescent="0.25">
      <c r="A101"/>
      <c r="B101"/>
      <c r="C101"/>
      <c r="D101"/>
      <c r="E101"/>
      <c r="F101"/>
      <c r="G101"/>
      <c r="H101"/>
      <c r="I101"/>
    </row>
    <row r="102" spans="1:9" x14ac:dyDescent="0.25">
      <c r="A102"/>
      <c r="B102"/>
      <c r="C102"/>
      <c r="D102"/>
      <c r="E102"/>
      <c r="F102"/>
      <c r="G102"/>
      <c r="H102"/>
      <c r="I102"/>
    </row>
    <row r="103" spans="1:9" x14ac:dyDescent="0.25">
      <c r="A103"/>
      <c r="B103"/>
      <c r="C103"/>
      <c r="D103"/>
      <c r="E103"/>
      <c r="F103"/>
      <c r="G103"/>
      <c r="H103"/>
      <c r="I103"/>
    </row>
    <row r="104" spans="1:9" x14ac:dyDescent="0.25">
      <c r="A104"/>
      <c r="B104"/>
      <c r="C104"/>
      <c r="D104"/>
      <c r="E104"/>
      <c r="F104"/>
      <c r="G104"/>
      <c r="H104"/>
      <c r="I104"/>
    </row>
    <row r="105" spans="1:9" x14ac:dyDescent="0.25">
      <c r="A105"/>
      <c r="B105"/>
      <c r="C105"/>
      <c r="D105"/>
      <c r="E105"/>
      <c r="F105"/>
      <c r="G105"/>
      <c r="H105"/>
      <c r="I105"/>
    </row>
    <row r="106" spans="1:9" x14ac:dyDescent="0.25">
      <c r="A106"/>
      <c r="B106"/>
      <c r="C106"/>
      <c r="D106"/>
      <c r="E106"/>
      <c r="F106"/>
      <c r="G106"/>
      <c r="H106"/>
      <c r="I106"/>
    </row>
    <row r="107" spans="1:9" x14ac:dyDescent="0.25">
      <c r="A107"/>
      <c r="B107"/>
      <c r="C107"/>
      <c r="D107"/>
      <c r="E107"/>
      <c r="F107"/>
      <c r="G107"/>
      <c r="H107"/>
      <c r="I107"/>
    </row>
    <row r="108" spans="1:9" x14ac:dyDescent="0.25">
      <c r="A108"/>
      <c r="B108"/>
      <c r="C108"/>
      <c r="D108"/>
      <c r="E108"/>
      <c r="F108"/>
      <c r="G108"/>
      <c r="H108"/>
      <c r="I108"/>
    </row>
    <row r="109" spans="1:9" x14ac:dyDescent="0.25">
      <c r="A109"/>
      <c r="B109"/>
      <c r="C109"/>
      <c r="D109"/>
      <c r="E109"/>
      <c r="F109"/>
      <c r="G109"/>
      <c r="H109"/>
      <c r="I109"/>
    </row>
    <row r="110" spans="1:9" x14ac:dyDescent="0.25">
      <c r="A110"/>
      <c r="B110"/>
      <c r="C110"/>
      <c r="D110"/>
      <c r="E110"/>
      <c r="F110"/>
      <c r="G110"/>
      <c r="H110"/>
      <c r="I110"/>
    </row>
    <row r="111" spans="1:9" x14ac:dyDescent="0.25">
      <c r="A111"/>
      <c r="B111"/>
      <c r="C111"/>
      <c r="D111"/>
      <c r="E111"/>
      <c r="F111"/>
      <c r="G111"/>
      <c r="H111"/>
      <c r="I111"/>
    </row>
    <row r="112" spans="1:9"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A117"/>
      <c r="B117"/>
      <c r="C117"/>
      <c r="D117"/>
      <c r="E117"/>
      <c r="F117"/>
      <c r="G117"/>
      <c r="H117"/>
      <c r="I117"/>
    </row>
    <row r="118" spans="1:9" x14ac:dyDescent="0.25">
      <c r="A118"/>
      <c r="B118"/>
      <c r="C118"/>
      <c r="D118"/>
      <c r="E118"/>
      <c r="F118"/>
      <c r="G118"/>
      <c r="H118"/>
      <c r="I118"/>
    </row>
    <row r="119" spans="1:9" x14ac:dyDescent="0.25">
      <c r="A119"/>
      <c r="B119"/>
      <c r="C119"/>
      <c r="D119"/>
      <c r="E119"/>
      <c r="F119"/>
      <c r="G119"/>
      <c r="H119"/>
      <c r="I119"/>
    </row>
    <row r="120" spans="1:9" x14ac:dyDescent="0.25">
      <c r="A120"/>
      <c r="B120"/>
      <c r="C120"/>
      <c r="D120"/>
      <c r="E120"/>
      <c r="F120"/>
      <c r="G120"/>
      <c r="H120"/>
      <c r="I120"/>
    </row>
    <row r="121" spans="1:9" x14ac:dyDescent="0.25">
      <c r="A121"/>
      <c r="B121"/>
      <c r="C121"/>
      <c r="D121"/>
      <c r="E121"/>
      <c r="F121"/>
      <c r="G121"/>
      <c r="H121"/>
      <c r="I121"/>
    </row>
    <row r="122" spans="1:9" x14ac:dyDescent="0.25">
      <c r="A122"/>
      <c r="B122"/>
      <c r="C122"/>
      <c r="D122"/>
      <c r="E122"/>
      <c r="F122"/>
      <c r="G122"/>
      <c r="H122"/>
      <c r="I122"/>
    </row>
    <row r="123" spans="1:9" x14ac:dyDescent="0.25">
      <c r="A123"/>
      <c r="B123"/>
      <c r="C123"/>
      <c r="D123"/>
      <c r="E123"/>
      <c r="F123"/>
      <c r="G123"/>
      <c r="H123"/>
      <c r="I123"/>
    </row>
    <row r="124" spans="1:9" x14ac:dyDescent="0.25">
      <c r="A124"/>
      <c r="B124"/>
      <c r="C124"/>
      <c r="D124"/>
      <c r="E124"/>
      <c r="F124"/>
      <c r="G124"/>
      <c r="H124"/>
      <c r="I124"/>
    </row>
    <row r="125" spans="1:9" x14ac:dyDescent="0.25">
      <c r="A125"/>
      <c r="B125"/>
      <c r="C125"/>
      <c r="D125"/>
      <c r="E125"/>
      <c r="F125"/>
      <c r="G125"/>
      <c r="H125"/>
      <c r="I125"/>
    </row>
    <row r="126" spans="1:9" x14ac:dyDescent="0.25">
      <c r="A126"/>
      <c r="B126"/>
      <c r="C126"/>
      <c r="D126"/>
      <c r="E126"/>
      <c r="F126"/>
      <c r="G126"/>
      <c r="H126"/>
      <c r="I126"/>
    </row>
    <row r="127" spans="1:9" x14ac:dyDescent="0.25">
      <c r="A127"/>
      <c r="B127"/>
      <c r="C127"/>
      <c r="D127"/>
      <c r="E127"/>
      <c r="F127"/>
      <c r="G127"/>
      <c r="H127"/>
      <c r="I127"/>
    </row>
    <row r="128" spans="1:9" x14ac:dyDescent="0.25">
      <c r="A128"/>
      <c r="B128"/>
      <c r="C128"/>
      <c r="D128"/>
      <c r="E128"/>
      <c r="F128"/>
      <c r="G128"/>
      <c r="H128"/>
      <c r="I128"/>
    </row>
    <row r="129" spans="1:9" x14ac:dyDescent="0.25">
      <c r="A129"/>
      <c r="B129"/>
      <c r="C129"/>
      <c r="D129"/>
      <c r="E129"/>
      <c r="F129"/>
      <c r="G129"/>
      <c r="H129"/>
      <c r="I129"/>
    </row>
    <row r="130" spans="1:9" x14ac:dyDescent="0.25">
      <c r="A130"/>
      <c r="B130"/>
      <c r="C130"/>
      <c r="D130"/>
      <c r="E130"/>
      <c r="F130"/>
      <c r="G130"/>
      <c r="H130"/>
      <c r="I130"/>
    </row>
    <row r="131" spans="1:9" x14ac:dyDescent="0.25">
      <c r="A131"/>
      <c r="B131"/>
      <c r="C131"/>
      <c r="D131"/>
      <c r="E131"/>
      <c r="F131"/>
      <c r="G131"/>
      <c r="H131"/>
      <c r="I131"/>
    </row>
    <row r="132" spans="1:9" x14ac:dyDescent="0.25">
      <c r="A132"/>
      <c r="B132"/>
      <c r="C132"/>
      <c r="D132"/>
      <c r="E132"/>
      <c r="F132"/>
      <c r="G132"/>
      <c r="H132"/>
      <c r="I132"/>
    </row>
    <row r="133" spans="1:9" x14ac:dyDescent="0.25">
      <c r="A133"/>
      <c r="B133"/>
      <c r="C133"/>
      <c r="D133"/>
      <c r="E133"/>
      <c r="F133"/>
      <c r="G133"/>
      <c r="H133"/>
      <c r="I133"/>
    </row>
    <row r="134" spans="1:9" x14ac:dyDescent="0.25">
      <c r="A134"/>
      <c r="B134"/>
      <c r="C134"/>
      <c r="D134"/>
      <c r="E134"/>
      <c r="F134"/>
      <c r="G134"/>
      <c r="H134"/>
      <c r="I134"/>
    </row>
    <row r="135" spans="1:9" x14ac:dyDescent="0.25">
      <c r="A135"/>
      <c r="B135"/>
      <c r="C135"/>
      <c r="D135"/>
      <c r="E135"/>
      <c r="F135"/>
      <c r="G135"/>
      <c r="H135"/>
      <c r="I135"/>
    </row>
    <row r="136" spans="1:9" x14ac:dyDescent="0.25">
      <c r="A136"/>
      <c r="B136"/>
      <c r="C136"/>
      <c r="D136"/>
      <c r="E136"/>
      <c r="F136"/>
      <c r="G136"/>
      <c r="H136"/>
      <c r="I136"/>
    </row>
    <row r="137" spans="1:9" x14ac:dyDescent="0.25">
      <c r="A137"/>
      <c r="B137"/>
      <c r="C137"/>
      <c r="D137"/>
      <c r="E137"/>
      <c r="F137"/>
      <c r="G137"/>
      <c r="H137"/>
      <c r="I137"/>
    </row>
    <row r="138" spans="1:9" x14ac:dyDescent="0.25">
      <c r="A138"/>
      <c r="B138"/>
      <c r="C138"/>
      <c r="D138"/>
      <c r="E138"/>
      <c r="F138"/>
      <c r="G138"/>
      <c r="H138"/>
      <c r="I138"/>
    </row>
    <row r="139" spans="1:9" x14ac:dyDescent="0.25">
      <c r="A139"/>
      <c r="B139"/>
      <c r="C139"/>
      <c r="D139"/>
      <c r="E139"/>
      <c r="F139"/>
      <c r="G139"/>
      <c r="H139"/>
      <c r="I139"/>
    </row>
    <row r="140" spans="1:9" x14ac:dyDescent="0.25">
      <c r="A140"/>
      <c r="B140"/>
      <c r="C140"/>
      <c r="D140"/>
      <c r="E140"/>
      <c r="F140"/>
      <c r="G140"/>
      <c r="H140"/>
      <c r="I140"/>
    </row>
    <row r="141" spans="1:9" x14ac:dyDescent="0.25">
      <c r="A141"/>
      <c r="B141"/>
      <c r="C141"/>
      <c r="D141"/>
      <c r="E141"/>
      <c r="F141"/>
      <c r="G141"/>
      <c r="H141"/>
      <c r="I141"/>
    </row>
    <row r="142" spans="1:9" x14ac:dyDescent="0.25">
      <c r="A142"/>
      <c r="B142"/>
      <c r="C142"/>
      <c r="D142"/>
      <c r="E142"/>
      <c r="F142"/>
      <c r="G142"/>
      <c r="H142"/>
      <c r="I142"/>
    </row>
    <row r="143" spans="1:9" x14ac:dyDescent="0.25">
      <c r="A143"/>
      <c r="B143"/>
      <c r="C143"/>
      <c r="D143"/>
      <c r="E143"/>
      <c r="F143"/>
      <c r="G143"/>
      <c r="H143"/>
      <c r="I143"/>
    </row>
    <row r="144" spans="1:9" x14ac:dyDescent="0.25">
      <c r="A144"/>
      <c r="B144"/>
      <c r="C144"/>
      <c r="D144"/>
      <c r="E144"/>
      <c r="F144"/>
      <c r="G144"/>
      <c r="H144"/>
      <c r="I144"/>
    </row>
    <row r="145" spans="1:9" x14ac:dyDescent="0.25">
      <c r="A145"/>
      <c r="B145"/>
      <c r="C145"/>
      <c r="D145"/>
      <c r="E145"/>
      <c r="F145"/>
      <c r="G145"/>
      <c r="H145"/>
      <c r="I145"/>
    </row>
    <row r="146" spans="1:9" x14ac:dyDescent="0.25">
      <c r="A146"/>
      <c r="B146"/>
      <c r="C146"/>
      <c r="D146"/>
      <c r="E146"/>
      <c r="F146"/>
      <c r="G146"/>
      <c r="H146"/>
      <c r="I146"/>
    </row>
    <row r="147" spans="1:9" x14ac:dyDescent="0.25">
      <c r="A147"/>
      <c r="B147"/>
      <c r="C147"/>
      <c r="D147"/>
      <c r="E147"/>
      <c r="F147"/>
      <c r="G147"/>
      <c r="H147"/>
      <c r="I147"/>
    </row>
    <row r="148" spans="1:9" x14ac:dyDescent="0.25">
      <c r="A148"/>
      <c r="B148"/>
      <c r="C148"/>
      <c r="D148"/>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row r="186" spans="1:9" x14ac:dyDescent="0.25">
      <c r="A186"/>
      <c r="B186"/>
      <c r="C186"/>
      <c r="D186"/>
      <c r="E186"/>
      <c r="F186"/>
      <c r="G186"/>
      <c r="H186"/>
      <c r="I186"/>
    </row>
    <row r="187" spans="1:9" x14ac:dyDescent="0.25">
      <c r="A187"/>
      <c r="B187"/>
      <c r="C187"/>
      <c r="D187"/>
      <c r="E187"/>
      <c r="F187"/>
      <c r="G187"/>
      <c r="H187"/>
      <c r="I187"/>
    </row>
    <row r="188" spans="1:9" x14ac:dyDescent="0.25">
      <c r="A188"/>
      <c r="B188"/>
      <c r="C188"/>
      <c r="D188"/>
      <c r="E188"/>
      <c r="F188"/>
      <c r="G188"/>
      <c r="H188"/>
      <c r="I188"/>
    </row>
    <row r="189" spans="1:9" x14ac:dyDescent="0.25">
      <c r="A189"/>
      <c r="B189"/>
      <c r="C189"/>
      <c r="D189"/>
      <c r="E189"/>
      <c r="F189"/>
      <c r="G189"/>
      <c r="H189"/>
      <c r="I189"/>
    </row>
    <row r="190" spans="1:9" x14ac:dyDescent="0.25">
      <c r="A190"/>
      <c r="B190"/>
      <c r="C190"/>
      <c r="D190"/>
      <c r="E190"/>
      <c r="F190"/>
      <c r="G190"/>
      <c r="H190"/>
      <c r="I190"/>
    </row>
    <row r="191" spans="1:9" x14ac:dyDescent="0.25">
      <c r="A191"/>
      <c r="B191"/>
      <c r="C191"/>
      <c r="D191"/>
      <c r="E191"/>
      <c r="F191"/>
      <c r="G191"/>
      <c r="H191"/>
      <c r="I191"/>
    </row>
    <row r="192" spans="1:9" x14ac:dyDescent="0.25">
      <c r="A192"/>
      <c r="B192"/>
      <c r="C192"/>
      <c r="D192"/>
      <c r="E192"/>
      <c r="F192"/>
      <c r="G192"/>
      <c r="H192"/>
      <c r="I192"/>
    </row>
    <row r="193" spans="1:9" x14ac:dyDescent="0.25">
      <c r="A193"/>
      <c r="B193"/>
      <c r="C193"/>
      <c r="D193"/>
      <c r="E193"/>
      <c r="F193"/>
      <c r="G193"/>
      <c r="H193"/>
      <c r="I193"/>
    </row>
    <row r="194" spans="1:9" x14ac:dyDescent="0.25">
      <c r="A194"/>
      <c r="B194"/>
      <c r="C194"/>
      <c r="D194"/>
      <c r="E194"/>
      <c r="F194"/>
      <c r="G194"/>
      <c r="H194"/>
      <c r="I194"/>
    </row>
    <row r="195" spans="1:9" x14ac:dyDescent="0.25">
      <c r="A195"/>
      <c r="B195"/>
      <c r="C195"/>
      <c r="D195"/>
      <c r="E195"/>
      <c r="F195"/>
      <c r="G195"/>
      <c r="H195"/>
      <c r="I195"/>
    </row>
    <row r="196" spans="1:9" x14ac:dyDescent="0.25">
      <c r="A196"/>
      <c r="B196"/>
      <c r="C196"/>
      <c r="D196"/>
      <c r="E196"/>
      <c r="F196"/>
      <c r="G196"/>
      <c r="H196"/>
      <c r="I196"/>
    </row>
    <row r="197" spans="1:9" x14ac:dyDescent="0.25">
      <c r="A197"/>
      <c r="B197"/>
      <c r="C197"/>
      <c r="D197"/>
      <c r="E197"/>
      <c r="F197"/>
      <c r="G197"/>
      <c r="H197"/>
      <c r="I197"/>
    </row>
    <row r="198" spans="1:9" x14ac:dyDescent="0.25">
      <c r="A198"/>
      <c r="B198"/>
      <c r="C198"/>
      <c r="D198"/>
      <c r="E198"/>
      <c r="F198"/>
      <c r="G198"/>
      <c r="H198"/>
      <c r="I198"/>
    </row>
    <row r="199" spans="1:9" x14ac:dyDescent="0.25">
      <c r="A199"/>
      <c r="B199"/>
      <c r="C199"/>
      <c r="D199"/>
      <c r="E199"/>
      <c r="F199"/>
      <c r="G199"/>
      <c r="H199"/>
      <c r="I199"/>
    </row>
    <row r="200" spans="1:9" x14ac:dyDescent="0.25">
      <c r="A200"/>
      <c r="B200"/>
      <c r="C200"/>
      <c r="D200"/>
      <c r="E200"/>
      <c r="F200"/>
      <c r="G200"/>
      <c r="H200"/>
      <c r="I200"/>
    </row>
    <row r="201" spans="1:9" x14ac:dyDescent="0.25">
      <c r="A201"/>
      <c r="B201"/>
      <c r="C201"/>
      <c r="D201"/>
      <c r="E201"/>
      <c r="F201"/>
      <c r="G201"/>
      <c r="H201"/>
      <c r="I201"/>
    </row>
    <row r="202" spans="1:9" x14ac:dyDescent="0.25">
      <c r="A202"/>
      <c r="B202"/>
      <c r="C202"/>
      <c r="D202"/>
      <c r="E202"/>
      <c r="F202"/>
      <c r="G202"/>
      <c r="H202"/>
      <c r="I202"/>
    </row>
    <row r="203" spans="1:9" x14ac:dyDescent="0.25">
      <c r="A203"/>
      <c r="B203"/>
      <c r="C203"/>
      <c r="D203"/>
      <c r="E203"/>
      <c r="F203"/>
      <c r="G203"/>
      <c r="H203"/>
      <c r="I203"/>
    </row>
    <row r="204" spans="1:9" x14ac:dyDescent="0.25">
      <c r="A204"/>
      <c r="B204"/>
      <c r="C204"/>
      <c r="D204"/>
      <c r="E204"/>
      <c r="F204"/>
      <c r="G204"/>
      <c r="H204"/>
      <c r="I204"/>
    </row>
    <row r="205" spans="1:9" x14ac:dyDescent="0.25">
      <c r="A205"/>
      <c r="B205"/>
      <c r="C205"/>
      <c r="D205"/>
      <c r="E205"/>
      <c r="F205"/>
      <c r="G205"/>
      <c r="H205"/>
      <c r="I205"/>
    </row>
    <row r="206" spans="1:9" x14ac:dyDescent="0.25">
      <c r="A206"/>
      <c r="B206"/>
      <c r="C206"/>
      <c r="D206"/>
      <c r="E206"/>
      <c r="F206"/>
      <c r="G206"/>
      <c r="H206"/>
      <c r="I206"/>
    </row>
    <row r="207" spans="1:9" x14ac:dyDescent="0.25">
      <c r="A207"/>
      <c r="B207"/>
      <c r="C207"/>
      <c r="D207"/>
      <c r="E207"/>
      <c r="F207"/>
      <c r="G207"/>
      <c r="H207"/>
      <c r="I207"/>
    </row>
    <row r="208" spans="1:9" x14ac:dyDescent="0.25">
      <c r="A208"/>
      <c r="B208"/>
      <c r="C208"/>
      <c r="D208"/>
      <c r="E208"/>
      <c r="F208"/>
      <c r="G208"/>
      <c r="H208"/>
      <c r="I208"/>
    </row>
    <row r="209" spans="1:9" x14ac:dyDescent="0.25">
      <c r="A209"/>
      <c r="B209"/>
      <c r="C209"/>
      <c r="D209"/>
      <c r="E209"/>
      <c r="F209"/>
      <c r="G209"/>
      <c r="H209"/>
      <c r="I209"/>
    </row>
    <row r="210" spans="1:9" x14ac:dyDescent="0.25">
      <c r="A210"/>
      <c r="B210"/>
      <c r="C210"/>
      <c r="D210"/>
      <c r="E210"/>
      <c r="F210"/>
      <c r="G210"/>
      <c r="H210"/>
      <c r="I210"/>
    </row>
    <row r="211" spans="1:9" x14ac:dyDescent="0.25">
      <c r="A211"/>
      <c r="B211"/>
      <c r="C211"/>
      <c r="D211"/>
      <c r="E211"/>
      <c r="F211"/>
      <c r="G211"/>
      <c r="H211"/>
      <c r="I211"/>
    </row>
    <row r="212" spans="1:9" x14ac:dyDescent="0.25">
      <c r="A212"/>
      <c r="B212"/>
      <c r="C212"/>
      <c r="D212"/>
      <c r="E212"/>
      <c r="F212"/>
      <c r="G212"/>
      <c r="H212"/>
      <c r="I212"/>
    </row>
    <row r="213" spans="1:9" x14ac:dyDescent="0.25">
      <c r="A213"/>
      <c r="B213"/>
      <c r="C213"/>
      <c r="D213"/>
      <c r="E213"/>
      <c r="F213"/>
      <c r="G213"/>
      <c r="H213"/>
      <c r="I213"/>
    </row>
    <row r="214" spans="1:9" x14ac:dyDescent="0.25">
      <c r="A214"/>
      <c r="B214"/>
      <c r="C214"/>
      <c r="D214"/>
      <c r="E214"/>
      <c r="F214"/>
      <c r="G214"/>
      <c r="H214"/>
      <c r="I214"/>
    </row>
    <row r="215" spans="1:9" x14ac:dyDescent="0.25">
      <c r="A215"/>
      <c r="B215"/>
      <c r="C215"/>
      <c r="D215"/>
      <c r="E215"/>
      <c r="F215"/>
      <c r="G215"/>
      <c r="H215"/>
      <c r="I215"/>
    </row>
    <row r="216" spans="1:9" x14ac:dyDescent="0.25">
      <c r="A216"/>
      <c r="B216"/>
      <c r="C216"/>
      <c r="D216"/>
      <c r="E216"/>
      <c r="F216"/>
      <c r="G216"/>
      <c r="H216"/>
      <c r="I216"/>
    </row>
    <row r="217" spans="1:9" x14ac:dyDescent="0.25">
      <c r="A217"/>
      <c r="B217"/>
      <c r="C217"/>
      <c r="D217"/>
      <c r="E217"/>
      <c r="F217"/>
      <c r="G217"/>
      <c r="H217"/>
      <c r="I217"/>
    </row>
    <row r="218" spans="1:9" x14ac:dyDescent="0.25">
      <c r="A218"/>
      <c r="B218"/>
      <c r="C218"/>
      <c r="D218"/>
      <c r="E218"/>
      <c r="F218"/>
      <c r="G218"/>
      <c r="H218"/>
      <c r="I218"/>
    </row>
    <row r="219" spans="1:9" x14ac:dyDescent="0.25">
      <c r="A219"/>
      <c r="B219"/>
      <c r="C219"/>
      <c r="D219"/>
      <c r="E219"/>
      <c r="F219"/>
      <c r="G219"/>
      <c r="H219"/>
      <c r="I219"/>
    </row>
    <row r="220" spans="1:9" x14ac:dyDescent="0.25">
      <c r="A220"/>
      <c r="B220"/>
      <c r="C220"/>
      <c r="D220"/>
      <c r="E220"/>
      <c r="F220"/>
      <c r="G220"/>
      <c r="H220"/>
      <c r="I220"/>
    </row>
    <row r="221" spans="1:9" x14ac:dyDescent="0.25">
      <c r="A221"/>
      <c r="B221"/>
      <c r="C221"/>
      <c r="D221"/>
      <c r="E221"/>
      <c r="F221"/>
      <c r="G221"/>
      <c r="H221"/>
      <c r="I221"/>
    </row>
    <row r="222" spans="1:9" x14ac:dyDescent="0.25">
      <c r="A222"/>
      <c r="B222"/>
      <c r="C222"/>
      <c r="D222"/>
      <c r="E222"/>
      <c r="F222"/>
      <c r="G222"/>
      <c r="H222"/>
      <c r="I222"/>
    </row>
    <row r="223" spans="1:9" x14ac:dyDescent="0.25">
      <c r="A223"/>
      <c r="B223"/>
      <c r="C223"/>
      <c r="D223"/>
      <c r="E223"/>
      <c r="F223"/>
      <c r="G223"/>
      <c r="H223"/>
      <c r="I223"/>
    </row>
    <row r="224" spans="1:9" x14ac:dyDescent="0.25">
      <c r="A224"/>
      <c r="B224"/>
      <c r="C224"/>
      <c r="D224"/>
      <c r="E224"/>
      <c r="F224"/>
      <c r="G224"/>
      <c r="H224"/>
      <c r="I224"/>
    </row>
    <row r="225" spans="1:9" x14ac:dyDescent="0.25">
      <c r="A225"/>
      <c r="B225"/>
      <c r="C225"/>
      <c r="D225"/>
      <c r="E225"/>
      <c r="F225"/>
      <c r="G225"/>
      <c r="H225"/>
      <c r="I225"/>
    </row>
    <row r="226" spans="1:9" x14ac:dyDescent="0.25">
      <c r="A226"/>
      <c r="B226"/>
      <c r="C226"/>
      <c r="D226"/>
      <c r="E226"/>
      <c r="F226"/>
      <c r="G226"/>
      <c r="H226"/>
      <c r="I226"/>
    </row>
    <row r="227" spans="1:9" x14ac:dyDescent="0.25">
      <c r="A227"/>
      <c r="B227"/>
      <c r="C227"/>
      <c r="D227"/>
      <c r="E227"/>
      <c r="F227"/>
      <c r="G227"/>
      <c r="H227"/>
      <c r="I227"/>
    </row>
    <row r="228" spans="1:9" x14ac:dyDescent="0.25">
      <c r="A228"/>
      <c r="B228"/>
      <c r="C228"/>
      <c r="D228"/>
      <c r="E228"/>
      <c r="F228"/>
      <c r="G228"/>
      <c r="H228"/>
      <c r="I228"/>
    </row>
    <row r="229" spans="1:9" x14ac:dyDescent="0.25">
      <c r="A229"/>
      <c r="B229"/>
      <c r="C229"/>
      <c r="D229"/>
      <c r="E229"/>
      <c r="F229"/>
      <c r="G229"/>
      <c r="H229"/>
      <c r="I229"/>
    </row>
    <row r="230" spans="1:9" x14ac:dyDescent="0.25">
      <c r="A230"/>
      <c r="B230"/>
      <c r="C230"/>
      <c r="D230"/>
      <c r="E230"/>
      <c r="F230"/>
      <c r="G230"/>
      <c r="H230"/>
      <c r="I230"/>
    </row>
    <row r="231" spans="1:9" x14ac:dyDescent="0.25">
      <c r="A231"/>
      <c r="B231"/>
      <c r="C231"/>
      <c r="D231"/>
      <c r="E231"/>
      <c r="F231"/>
      <c r="G231"/>
      <c r="H231"/>
      <c r="I231"/>
    </row>
    <row r="232" spans="1:9" x14ac:dyDescent="0.25">
      <c r="A232"/>
      <c r="B232"/>
      <c r="C232"/>
      <c r="D232"/>
      <c r="E232"/>
      <c r="F232"/>
      <c r="G232"/>
      <c r="H232"/>
      <c r="I232"/>
    </row>
    <row r="233" spans="1:9" x14ac:dyDescent="0.25">
      <c r="A233"/>
      <c r="B233"/>
      <c r="C233"/>
      <c r="D233"/>
      <c r="E233"/>
      <c r="F233"/>
      <c r="G233"/>
      <c r="H233"/>
      <c r="I233"/>
    </row>
    <row r="234" spans="1:9" x14ac:dyDescent="0.25">
      <c r="A234"/>
      <c r="B234"/>
      <c r="C234"/>
      <c r="D234"/>
      <c r="E234"/>
      <c r="F234"/>
      <c r="G234"/>
      <c r="H234"/>
      <c r="I234"/>
    </row>
    <row r="235" spans="1:9" x14ac:dyDescent="0.25">
      <c r="A235"/>
      <c r="B235"/>
      <c r="C235"/>
      <c r="D235"/>
      <c r="E235"/>
      <c r="F235"/>
      <c r="G235"/>
      <c r="H235"/>
      <c r="I235"/>
    </row>
    <row r="236" spans="1:9" x14ac:dyDescent="0.25">
      <c r="A236"/>
      <c r="B236"/>
      <c r="C236"/>
      <c r="D236"/>
      <c r="E236"/>
      <c r="F236"/>
      <c r="G236"/>
      <c r="H236"/>
      <c r="I236"/>
    </row>
    <row r="237" spans="1:9" x14ac:dyDescent="0.25">
      <c r="A237"/>
      <c r="B237"/>
      <c r="C237"/>
      <c r="D237"/>
      <c r="E237"/>
      <c r="F237"/>
      <c r="G237"/>
      <c r="H237"/>
      <c r="I237"/>
    </row>
    <row r="238" spans="1:9" x14ac:dyDescent="0.25">
      <c r="A238"/>
      <c r="B238"/>
      <c r="C238"/>
      <c r="D238"/>
      <c r="E238"/>
      <c r="F238"/>
      <c r="G238"/>
      <c r="H238"/>
      <c r="I238"/>
    </row>
    <row r="239" spans="1:9" x14ac:dyDescent="0.25">
      <c r="A239"/>
      <c r="B239"/>
      <c r="C239"/>
      <c r="D239"/>
      <c r="E239"/>
      <c r="F239"/>
      <c r="G239"/>
      <c r="H239"/>
      <c r="I239"/>
    </row>
    <row r="240" spans="1:9" x14ac:dyDescent="0.25">
      <c r="A240"/>
      <c r="B240"/>
      <c r="C240"/>
      <c r="D240"/>
      <c r="E240"/>
      <c r="F240"/>
      <c r="G240"/>
      <c r="H240"/>
      <c r="I240"/>
    </row>
    <row r="241" spans="1:9" x14ac:dyDescent="0.25">
      <c r="A241"/>
      <c r="B241"/>
      <c r="C241"/>
      <c r="D241"/>
      <c r="E241"/>
      <c r="F241"/>
      <c r="G241"/>
      <c r="H241"/>
      <c r="I241"/>
    </row>
    <row r="242" spans="1:9" x14ac:dyDescent="0.25">
      <c r="A242"/>
      <c r="B242"/>
      <c r="C242"/>
      <c r="D242"/>
      <c r="E242"/>
      <c r="F242"/>
      <c r="G242"/>
      <c r="H242"/>
      <c r="I242"/>
    </row>
    <row r="243" spans="1:9" x14ac:dyDescent="0.25">
      <c r="A243"/>
      <c r="B243"/>
      <c r="C243"/>
      <c r="D243"/>
      <c r="E243"/>
      <c r="F243"/>
      <c r="G243"/>
      <c r="H243"/>
      <c r="I243"/>
    </row>
    <row r="244" spans="1:9" x14ac:dyDescent="0.25">
      <c r="A244"/>
      <c r="B244"/>
      <c r="C244"/>
      <c r="D244"/>
      <c r="E244"/>
      <c r="F244"/>
      <c r="G244"/>
      <c r="H244"/>
      <c r="I244"/>
    </row>
    <row r="245" spans="1:9" x14ac:dyDescent="0.25">
      <c r="A245"/>
      <c r="B245"/>
      <c r="C245"/>
      <c r="D245"/>
      <c r="E245"/>
      <c r="F245"/>
      <c r="G245"/>
      <c r="H245"/>
      <c r="I245"/>
    </row>
    <row r="246" spans="1:9" x14ac:dyDescent="0.25">
      <c r="A246"/>
      <c r="B246"/>
      <c r="C246"/>
      <c r="D246"/>
      <c r="E246"/>
      <c r="F246"/>
      <c r="G246"/>
      <c r="H246"/>
      <c r="I246"/>
    </row>
    <row r="247" spans="1:9" x14ac:dyDescent="0.25">
      <c r="A247"/>
      <c r="B247"/>
      <c r="C247"/>
      <c r="D247"/>
      <c r="E247"/>
      <c r="F247"/>
      <c r="G247"/>
      <c r="H247"/>
      <c r="I247"/>
    </row>
    <row r="248" spans="1:9" x14ac:dyDescent="0.25">
      <c r="A248"/>
      <c r="B248"/>
      <c r="C248"/>
      <c r="D248"/>
      <c r="E248"/>
      <c r="F248"/>
      <c r="G248"/>
      <c r="H248"/>
      <c r="I248"/>
    </row>
    <row r="249" spans="1:9" x14ac:dyDescent="0.25">
      <c r="A249"/>
      <c r="B249"/>
      <c r="C249"/>
      <c r="D249"/>
      <c r="E249"/>
      <c r="F249"/>
      <c r="G249"/>
      <c r="H249"/>
      <c r="I249"/>
    </row>
    <row r="250" spans="1:9" x14ac:dyDescent="0.25">
      <c r="A250"/>
      <c r="B250"/>
      <c r="C250"/>
      <c r="D250"/>
      <c r="E250"/>
      <c r="F250"/>
      <c r="G250"/>
      <c r="H250"/>
      <c r="I250"/>
    </row>
    <row r="251" spans="1:9" x14ac:dyDescent="0.25">
      <c r="A251"/>
      <c r="B251"/>
      <c r="C251"/>
      <c r="D251"/>
      <c r="E251"/>
      <c r="F251"/>
      <c r="G251"/>
      <c r="H251"/>
      <c r="I251"/>
    </row>
    <row r="252" spans="1:9" x14ac:dyDescent="0.25">
      <c r="A252"/>
      <c r="B252"/>
      <c r="C252"/>
      <c r="D252"/>
      <c r="E252"/>
      <c r="F252"/>
      <c r="G252"/>
      <c r="H252"/>
      <c r="I252"/>
    </row>
    <row r="253" spans="1:9" x14ac:dyDescent="0.25">
      <c r="A253"/>
      <c r="B253"/>
      <c r="C253"/>
      <c r="D253"/>
      <c r="E253"/>
      <c r="F253"/>
      <c r="G253"/>
      <c r="H253"/>
      <c r="I253"/>
    </row>
    <row r="254" spans="1:9" x14ac:dyDescent="0.25">
      <c r="E254" s="472"/>
      <c r="F254" s="467"/>
    </row>
    <row r="255" spans="1:9" x14ac:dyDescent="0.25">
      <c r="E255" s="472"/>
      <c r="F255" s="467"/>
    </row>
    <row r="256" spans="1:9" x14ac:dyDescent="0.25">
      <c r="E256" s="472"/>
      <c r="F256" s="467"/>
    </row>
    <row r="257" spans="5:6" x14ac:dyDescent="0.25">
      <c r="E257" s="472"/>
      <c r="F257" s="467"/>
    </row>
    <row r="258" spans="5:6" x14ac:dyDescent="0.25">
      <c r="E258" s="472"/>
      <c r="F258" s="467"/>
    </row>
    <row r="259" spans="5:6" x14ac:dyDescent="0.25">
      <c r="E259" s="472"/>
      <c r="F259" s="467"/>
    </row>
    <row r="260" spans="5:6" x14ac:dyDescent="0.25">
      <c r="E260" s="472"/>
      <c r="F260" s="467"/>
    </row>
    <row r="261" spans="5:6" x14ac:dyDescent="0.25">
      <c r="E261" s="472"/>
      <c r="F261" s="467"/>
    </row>
    <row r="262" spans="5:6" x14ac:dyDescent="0.25">
      <c r="E262" s="472"/>
      <c r="F262" s="467"/>
    </row>
    <row r="263" spans="5:6" x14ac:dyDescent="0.25">
      <c r="E263" s="472"/>
      <c r="F263" s="467"/>
    </row>
    <row r="264" spans="5:6" x14ac:dyDescent="0.25">
      <c r="E264" s="472"/>
      <c r="F264" s="467"/>
    </row>
    <row r="265" spans="5:6" x14ac:dyDescent="0.25">
      <c r="E265" s="472"/>
      <c r="F265" s="467"/>
    </row>
    <row r="266" spans="5:6" x14ac:dyDescent="0.25">
      <c r="E266" s="472"/>
      <c r="F266" s="467"/>
    </row>
    <row r="267" spans="5:6" x14ac:dyDescent="0.25">
      <c r="E267" s="472"/>
      <c r="F267" s="467"/>
    </row>
    <row r="268" spans="5:6" x14ac:dyDescent="0.25">
      <c r="E268" s="472"/>
      <c r="F268" s="467"/>
    </row>
    <row r="269" spans="5:6" x14ac:dyDescent="0.25">
      <c r="E269" s="472"/>
      <c r="F269" s="467"/>
    </row>
    <row r="270" spans="5:6" x14ac:dyDescent="0.25">
      <c r="E270" s="472"/>
      <c r="F270" s="467"/>
    </row>
    <row r="271" spans="5:6" x14ac:dyDescent="0.25">
      <c r="E271" s="472"/>
      <c r="F271" s="467"/>
    </row>
    <row r="272" spans="5:6" x14ac:dyDescent="0.25">
      <c r="E272" s="472"/>
      <c r="F272" s="467"/>
    </row>
    <row r="273" spans="5:6" x14ac:dyDescent="0.25">
      <c r="E273" s="472"/>
      <c r="F273" s="467"/>
    </row>
    <row r="274" spans="5:6" x14ac:dyDescent="0.25">
      <c r="E274" s="472"/>
      <c r="F274" s="467"/>
    </row>
    <row r="275" spans="5:6" x14ac:dyDescent="0.25">
      <c r="E275" s="472"/>
      <c r="F275" s="467"/>
    </row>
    <row r="276" spans="5:6" x14ac:dyDescent="0.25">
      <c r="E276" s="472"/>
      <c r="F276" s="467"/>
    </row>
    <row r="277" spans="5:6" x14ac:dyDescent="0.25">
      <c r="E277" s="472"/>
      <c r="F277" s="467"/>
    </row>
    <row r="278" spans="5:6" x14ac:dyDescent="0.25">
      <c r="E278" s="472"/>
      <c r="F278" s="467"/>
    </row>
    <row r="279" spans="5:6" x14ac:dyDescent="0.25">
      <c r="E279" s="472"/>
      <c r="F279" s="467"/>
    </row>
    <row r="280" spans="5:6" x14ac:dyDescent="0.25">
      <c r="E280" s="472"/>
      <c r="F280" s="467"/>
    </row>
    <row r="281" spans="5:6" x14ac:dyDescent="0.25">
      <c r="E281" s="472"/>
      <c r="F281" s="467"/>
    </row>
    <row r="282" spans="5:6" x14ac:dyDescent="0.25">
      <c r="E282" s="472"/>
      <c r="F282" s="467"/>
    </row>
    <row r="283" spans="5:6" x14ac:dyDescent="0.25">
      <c r="E283" s="472"/>
      <c r="F283" s="467"/>
    </row>
  </sheetData>
  <mergeCells count="1">
    <mergeCell ref="A1:H1"/>
  </mergeCells>
  <printOptions horizontalCentered="1"/>
  <pageMargins left="0.70866141732283472" right="0.70866141732283472" top="0.74803149606299213" bottom="0.74803149606299213" header="0.31496062992125984" footer="0.31496062992125984"/>
  <pageSetup scale="49" orientation="landscape" horizontalDpi="1200" verticalDpi="1200" r:id="rId2"/>
  <rowBreaks count="1" manualBreakCount="1">
    <brk id="25" max="7"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EB10-8895-4008-9882-4A16A3FA00B3}">
  <dimension ref="B1:I36"/>
  <sheetViews>
    <sheetView workbookViewId="0">
      <selection activeCell="E27" sqref="E27"/>
    </sheetView>
  </sheetViews>
  <sheetFormatPr baseColWidth="10" defaultRowHeight="15" x14ac:dyDescent="0.25"/>
  <cols>
    <col min="2" max="2" width="13.5703125" customWidth="1"/>
    <col min="3" max="3" width="18.5703125" style="1" customWidth="1"/>
    <col min="5" max="5" width="12.7109375" customWidth="1"/>
    <col min="6" max="6" width="16.85546875" customWidth="1"/>
    <col min="7" max="7" width="17" customWidth="1"/>
    <col min="9" max="9" width="13" style="1" bestFit="1" customWidth="1"/>
  </cols>
  <sheetData>
    <row r="1" spans="2:9" x14ac:dyDescent="0.25">
      <c r="B1" s="526" t="s">
        <v>631</v>
      </c>
      <c r="C1" s="526"/>
      <c r="D1" s="525" t="s">
        <v>625</v>
      </c>
      <c r="E1" s="525"/>
      <c r="F1" s="525"/>
    </row>
    <row r="3" spans="2:9" x14ac:dyDescent="0.25">
      <c r="B3" s="291" t="s">
        <v>619</v>
      </c>
      <c r="C3" s="311">
        <f>+I5</f>
        <v>14195244</v>
      </c>
      <c r="D3" s="291"/>
      <c r="E3" s="294">
        <f>SUM(E4:E6)</f>
        <v>9410282</v>
      </c>
      <c r="F3" s="303"/>
      <c r="I3" s="1">
        <v>11377086</v>
      </c>
    </row>
    <row r="4" spans="2:9" x14ac:dyDescent="0.25">
      <c r="B4" s="296"/>
      <c r="C4" s="312"/>
      <c r="D4" s="296">
        <v>54</v>
      </c>
      <c r="E4" s="304">
        <v>4430318</v>
      </c>
      <c r="F4" s="297" t="s">
        <v>617</v>
      </c>
      <c r="I4" s="1">
        <v>2818158</v>
      </c>
    </row>
    <row r="5" spans="2:9" x14ac:dyDescent="0.25">
      <c r="B5" s="296"/>
      <c r="C5" s="312"/>
      <c r="D5" s="296">
        <v>58</v>
      </c>
      <c r="E5" s="304">
        <f>+E36-E9</f>
        <v>2341012</v>
      </c>
      <c r="F5" s="297" t="s">
        <v>603</v>
      </c>
      <c r="I5" s="1">
        <f>+I4+I3</f>
        <v>14195244</v>
      </c>
    </row>
    <row r="6" spans="2:9" x14ac:dyDescent="0.25">
      <c r="B6" s="299"/>
      <c r="C6" s="313"/>
      <c r="D6" s="299">
        <v>175</v>
      </c>
      <c r="E6" s="306">
        <v>2638952</v>
      </c>
      <c r="F6" s="302" t="s">
        <v>618</v>
      </c>
      <c r="G6" s="259"/>
    </row>
    <row r="7" spans="2:9" x14ac:dyDescent="0.25">
      <c r="B7" s="307" t="s">
        <v>638</v>
      </c>
      <c r="C7" s="308"/>
      <c r="D7" s="309"/>
      <c r="E7" s="308">
        <v>4784962</v>
      </c>
      <c r="F7" s="302" t="s">
        <v>618</v>
      </c>
    </row>
    <row r="9" spans="2:9" x14ac:dyDescent="0.25">
      <c r="B9" s="291" t="s">
        <v>620</v>
      </c>
      <c r="C9" s="311">
        <f>2453375*2</f>
        <v>4906750</v>
      </c>
      <c r="D9" s="293">
        <v>58</v>
      </c>
      <c r="E9" s="294">
        <f>+C9</f>
        <v>4906750</v>
      </c>
      <c r="F9" s="295" t="s">
        <v>603</v>
      </c>
      <c r="G9" s="259"/>
      <c r="I9" s="1">
        <f>2453375*2</f>
        <v>4906750</v>
      </c>
    </row>
    <row r="10" spans="2:9" x14ac:dyDescent="0.25">
      <c r="B10" s="296"/>
      <c r="C10" s="312"/>
      <c r="D10" s="17"/>
      <c r="E10" s="17"/>
      <c r="F10" s="297"/>
    </row>
    <row r="11" spans="2:9" x14ac:dyDescent="0.25">
      <c r="B11" s="296" t="s">
        <v>621</v>
      </c>
      <c r="C11" s="312">
        <v>15600000</v>
      </c>
      <c r="D11" s="17">
        <v>175</v>
      </c>
      <c r="E11" s="298">
        <v>15600000</v>
      </c>
      <c r="F11" s="297" t="s">
        <v>618</v>
      </c>
    </row>
    <row r="12" spans="2:9" x14ac:dyDescent="0.25">
      <c r="B12" s="296"/>
      <c r="C12" s="312"/>
      <c r="D12" s="17"/>
      <c r="E12" s="17"/>
      <c r="F12" s="297"/>
    </row>
    <row r="13" spans="2:9" x14ac:dyDescent="0.25">
      <c r="B13" s="299" t="s">
        <v>624</v>
      </c>
      <c r="C13" s="313">
        <f>+C11+C9</f>
        <v>20506750</v>
      </c>
      <c r="D13" s="300"/>
      <c r="E13" s="301">
        <f>+E11+E9</f>
        <v>20506750</v>
      </c>
      <c r="F13" s="302"/>
    </row>
    <row r="15" spans="2:9" x14ac:dyDescent="0.25">
      <c r="B15" s="291" t="s">
        <v>622</v>
      </c>
      <c r="C15" s="311">
        <v>90000000</v>
      </c>
      <c r="D15" s="293">
        <v>175</v>
      </c>
      <c r="E15" s="294">
        <f>37170356-594270+400000</f>
        <v>36976086</v>
      </c>
      <c r="F15" s="295" t="s">
        <v>618</v>
      </c>
    </row>
    <row r="16" spans="2:9" x14ac:dyDescent="0.25">
      <c r="B16" s="296"/>
      <c r="C16" s="312"/>
      <c r="D16" s="17"/>
      <c r="E16" s="305">
        <f>+E34-4000000</f>
        <v>11533342</v>
      </c>
      <c r="F16" s="297" t="s">
        <v>623</v>
      </c>
    </row>
    <row r="17" spans="2:6" x14ac:dyDescent="0.25">
      <c r="B17" s="296"/>
      <c r="C17" s="312"/>
      <c r="D17" s="17">
        <v>169</v>
      </c>
      <c r="E17" s="298">
        <v>6500000</v>
      </c>
      <c r="F17" s="297"/>
    </row>
    <row r="18" spans="2:6" x14ac:dyDescent="0.25">
      <c r="B18" s="296"/>
      <c r="C18" s="312"/>
      <c r="D18" s="17">
        <v>176</v>
      </c>
      <c r="E18" s="298">
        <v>4533342</v>
      </c>
      <c r="F18" s="297"/>
    </row>
    <row r="19" spans="2:6" x14ac:dyDescent="0.25">
      <c r="B19" s="296"/>
      <c r="C19" s="312"/>
      <c r="D19" s="17">
        <v>61</v>
      </c>
      <c r="E19" s="298">
        <v>500000</v>
      </c>
      <c r="F19" s="297"/>
    </row>
    <row r="20" spans="2:6" x14ac:dyDescent="0.25">
      <c r="B20" s="299"/>
      <c r="C20" s="313"/>
      <c r="D20" s="300"/>
      <c r="E20" s="306">
        <f>+C15-E15-E16</f>
        <v>41490572</v>
      </c>
      <c r="F20" s="302" t="s">
        <v>626</v>
      </c>
    </row>
    <row r="21" spans="2:6" x14ac:dyDescent="0.25">
      <c r="B21" s="296"/>
      <c r="C21" s="315"/>
      <c r="D21" s="17"/>
      <c r="E21" s="17"/>
      <c r="F21" s="297"/>
    </row>
    <row r="22" spans="2:6" x14ac:dyDescent="0.25">
      <c r="B22" s="307" t="s">
        <v>630</v>
      </c>
      <c r="C22" s="314">
        <v>30000000</v>
      </c>
      <c r="D22" s="309"/>
      <c r="E22" s="308">
        <v>30000000</v>
      </c>
      <c r="F22" s="310" t="s">
        <v>36</v>
      </c>
    </row>
    <row r="24" spans="2:6" x14ac:dyDescent="0.25">
      <c r="B24" s="291" t="s">
        <v>627</v>
      </c>
      <c r="C24" s="311">
        <v>75000000</v>
      </c>
      <c r="D24" s="293"/>
      <c r="E24" s="292">
        <v>42000000</v>
      </c>
      <c r="F24" s="295" t="s">
        <v>36</v>
      </c>
    </row>
    <row r="25" spans="2:6" x14ac:dyDescent="0.25">
      <c r="B25" s="299"/>
      <c r="C25" s="313"/>
      <c r="D25" s="300"/>
      <c r="E25" s="306">
        <f>+C24-E24</f>
        <v>33000000</v>
      </c>
      <c r="F25" s="302" t="s">
        <v>628</v>
      </c>
    </row>
    <row r="26" spans="2:6" x14ac:dyDescent="0.25">
      <c r="B26" s="296"/>
      <c r="C26" s="315"/>
      <c r="D26" s="17"/>
      <c r="E26" s="17"/>
      <c r="F26" s="297"/>
    </row>
    <row r="27" spans="2:6" x14ac:dyDescent="0.25">
      <c r="B27" s="307" t="s">
        <v>629</v>
      </c>
      <c r="C27" s="314">
        <f>20000000+15000000</f>
        <v>35000000</v>
      </c>
      <c r="D27" s="309"/>
      <c r="E27" s="308">
        <f>+C27</f>
        <v>35000000</v>
      </c>
      <c r="F27" s="310" t="s">
        <v>626</v>
      </c>
    </row>
    <row r="32" spans="2:6" x14ac:dyDescent="0.25">
      <c r="C32" s="1">
        <v>60000000</v>
      </c>
      <c r="D32">
        <v>175</v>
      </c>
      <c r="E32" s="259">
        <f>+C32-E6-E11-E15</f>
        <v>4784962</v>
      </c>
      <c r="F32" t="s">
        <v>618</v>
      </c>
    </row>
    <row r="34" spans="5:7" x14ac:dyDescent="0.25">
      <c r="E34" s="259">
        <v>15533342</v>
      </c>
      <c r="F34" t="s">
        <v>623</v>
      </c>
      <c r="G34" s="355">
        <f>+'PLAN CONTRATACIÓN 2017'!P174+'PLAN CONTRATACIÓN 2017'!P195+'PLAN CONTRATACIÓN 2017'!P199</f>
        <v>0</v>
      </c>
    </row>
    <row r="36" spans="5:7" x14ac:dyDescent="0.25">
      <c r="E36" s="259">
        <v>7247762</v>
      </c>
      <c r="F36" t="s">
        <v>603</v>
      </c>
    </row>
  </sheetData>
  <mergeCells count="2">
    <mergeCell ref="D1:F1"/>
    <mergeCell ref="B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A2BA4-B695-4359-ADEE-94DB619D5EE1}">
  <dimension ref="A1:G69"/>
  <sheetViews>
    <sheetView view="pageBreakPreview" topLeftCell="A43" zoomScale="85" zoomScaleNormal="100" zoomScaleSheetLayoutView="85" workbookViewId="0">
      <selection activeCell="B60" sqref="B60"/>
    </sheetView>
  </sheetViews>
  <sheetFormatPr baseColWidth="10" defaultRowHeight="15" x14ac:dyDescent="0.25"/>
  <cols>
    <col min="1" max="1" width="17.42578125" style="4" customWidth="1"/>
    <col min="2" max="2" width="24" customWidth="1"/>
    <col min="3" max="3" width="255.7109375" style="4" bestFit="1" customWidth="1"/>
    <col min="4" max="4" width="15" bestFit="1" customWidth="1"/>
    <col min="5" max="5" width="28.28515625" bestFit="1" customWidth="1"/>
    <col min="6" max="6" width="13.140625" bestFit="1" customWidth="1"/>
  </cols>
  <sheetData>
    <row r="1" spans="1:7" ht="30" x14ac:dyDescent="0.25">
      <c r="A1" s="5" t="s">
        <v>38</v>
      </c>
      <c r="B1" t="s">
        <v>43</v>
      </c>
      <c r="D1" s="287"/>
    </row>
    <row r="3" spans="1:7" s="4" customFormat="1" x14ac:dyDescent="0.25">
      <c r="D3" s="2" t="s">
        <v>615</v>
      </c>
      <c r="E3"/>
      <c r="F3"/>
      <c r="G3"/>
    </row>
    <row r="4" spans="1:7" ht="45" x14ac:dyDescent="0.25">
      <c r="A4" s="5" t="s">
        <v>39</v>
      </c>
      <c r="B4" s="2" t="s">
        <v>368</v>
      </c>
      <c r="C4" s="2" t="s">
        <v>119</v>
      </c>
      <c r="D4" s="4" t="s">
        <v>587</v>
      </c>
      <c r="E4" t="s">
        <v>594</v>
      </c>
      <c r="F4" s="4" t="s">
        <v>589</v>
      </c>
      <c r="G4" s="4" t="s">
        <v>588</v>
      </c>
    </row>
    <row r="5" spans="1:7" x14ac:dyDescent="0.25">
      <c r="A5" t="s">
        <v>1</v>
      </c>
      <c r="B5" t="s">
        <v>369</v>
      </c>
      <c r="C5" t="s">
        <v>699</v>
      </c>
      <c r="D5" s="484">
        <v>4800000</v>
      </c>
      <c r="E5" s="484">
        <v>4800000</v>
      </c>
      <c r="F5" s="484">
        <v>0</v>
      </c>
      <c r="G5" s="485">
        <v>1</v>
      </c>
    </row>
    <row r="6" spans="1:7" x14ac:dyDescent="0.25">
      <c r="A6"/>
      <c r="B6" t="s">
        <v>377</v>
      </c>
      <c r="C6"/>
      <c r="D6" s="484">
        <v>4800000</v>
      </c>
      <c r="E6" s="484">
        <v>4800000</v>
      </c>
      <c r="F6" s="484">
        <v>0</v>
      </c>
      <c r="G6" s="485">
        <v>1</v>
      </c>
    </row>
    <row r="7" spans="1:7" x14ac:dyDescent="0.25">
      <c r="A7" t="s">
        <v>431</v>
      </c>
      <c r="C7"/>
      <c r="D7" s="484">
        <v>4800000</v>
      </c>
      <c r="E7" s="484">
        <v>4800000</v>
      </c>
      <c r="F7" s="484">
        <v>0</v>
      </c>
      <c r="G7" s="485">
        <v>1</v>
      </c>
    </row>
    <row r="8" spans="1:7" ht="30" x14ac:dyDescent="0.25">
      <c r="A8" s="4" t="s">
        <v>5</v>
      </c>
      <c r="B8" t="s">
        <v>369</v>
      </c>
      <c r="C8" t="s">
        <v>460</v>
      </c>
      <c r="D8" s="484">
        <v>21000000</v>
      </c>
      <c r="E8" s="484">
        <v>21000000</v>
      </c>
      <c r="F8" s="484">
        <v>0</v>
      </c>
      <c r="G8" s="485">
        <v>1</v>
      </c>
    </row>
    <row r="9" spans="1:7" x14ac:dyDescent="0.25">
      <c r="C9" t="s">
        <v>535</v>
      </c>
      <c r="D9" s="484">
        <v>8800000</v>
      </c>
      <c r="E9" s="484">
        <v>8800000</v>
      </c>
      <c r="F9" s="484">
        <v>0</v>
      </c>
      <c r="G9" s="485">
        <v>1</v>
      </c>
    </row>
    <row r="10" spans="1:7" x14ac:dyDescent="0.25">
      <c r="C10" t="s">
        <v>531</v>
      </c>
      <c r="D10" s="484">
        <v>16500000</v>
      </c>
      <c r="E10" s="484">
        <v>16500000</v>
      </c>
      <c r="F10" s="484">
        <v>0</v>
      </c>
      <c r="G10" s="485">
        <v>1</v>
      </c>
    </row>
    <row r="11" spans="1:7" x14ac:dyDescent="0.25">
      <c r="C11" t="s">
        <v>274</v>
      </c>
      <c r="D11" s="484">
        <v>8800000</v>
      </c>
      <c r="E11" s="484">
        <v>8800000</v>
      </c>
      <c r="F11" s="484">
        <v>0</v>
      </c>
      <c r="G11" s="485">
        <v>1</v>
      </c>
    </row>
    <row r="12" spans="1:7" x14ac:dyDescent="0.25">
      <c r="C12" t="s">
        <v>267</v>
      </c>
      <c r="D12" s="484">
        <v>18000000</v>
      </c>
      <c r="E12" s="484">
        <v>14800000</v>
      </c>
      <c r="F12" s="484">
        <v>3200000</v>
      </c>
      <c r="G12" s="485">
        <v>1</v>
      </c>
    </row>
    <row r="13" spans="1:7" x14ac:dyDescent="0.25">
      <c r="C13" t="s">
        <v>282</v>
      </c>
      <c r="D13" s="484">
        <v>15000000</v>
      </c>
      <c r="E13" s="484">
        <v>13400000</v>
      </c>
      <c r="F13" s="484">
        <v>1600000</v>
      </c>
      <c r="G13" s="485">
        <v>1</v>
      </c>
    </row>
    <row r="14" spans="1:7" x14ac:dyDescent="0.25">
      <c r="C14" t="s">
        <v>283</v>
      </c>
      <c r="D14" s="484">
        <v>28000000</v>
      </c>
      <c r="E14" s="484">
        <v>23100000</v>
      </c>
      <c r="F14" s="484">
        <v>4900000</v>
      </c>
      <c r="G14" s="485">
        <v>1</v>
      </c>
    </row>
    <row r="15" spans="1:7" x14ac:dyDescent="0.25">
      <c r="C15" t="s">
        <v>61</v>
      </c>
      <c r="D15" s="484">
        <v>40000000</v>
      </c>
      <c r="E15" s="484">
        <v>40000000</v>
      </c>
      <c r="F15" s="484">
        <v>0</v>
      </c>
      <c r="G15" s="485">
        <v>1</v>
      </c>
    </row>
    <row r="16" spans="1:7" x14ac:dyDescent="0.25">
      <c r="C16" t="s">
        <v>533</v>
      </c>
      <c r="D16" s="484">
        <v>15250000</v>
      </c>
      <c r="E16" s="484">
        <v>13420000</v>
      </c>
      <c r="F16" s="484">
        <v>1830000</v>
      </c>
      <c r="G16" s="485">
        <v>1</v>
      </c>
    </row>
    <row r="17" spans="2:7" x14ac:dyDescent="0.25">
      <c r="C17" t="s">
        <v>63</v>
      </c>
      <c r="D17" s="484">
        <v>48000000</v>
      </c>
      <c r="E17" s="484">
        <v>48000000</v>
      </c>
      <c r="F17" s="484">
        <v>0</v>
      </c>
      <c r="G17" s="485">
        <v>1</v>
      </c>
    </row>
    <row r="18" spans="2:7" x14ac:dyDescent="0.25">
      <c r="C18" t="s">
        <v>279</v>
      </c>
      <c r="D18" s="484">
        <v>30000000</v>
      </c>
      <c r="E18" s="484">
        <v>30000000</v>
      </c>
      <c r="F18" s="484">
        <v>0</v>
      </c>
      <c r="G18" s="485">
        <v>1</v>
      </c>
    </row>
    <row r="19" spans="2:7" x14ac:dyDescent="0.25">
      <c r="C19" t="s">
        <v>278</v>
      </c>
      <c r="D19" s="484">
        <v>32500000</v>
      </c>
      <c r="E19" s="484">
        <v>32500000</v>
      </c>
      <c r="F19" s="484">
        <v>0</v>
      </c>
      <c r="G19" s="485">
        <v>1</v>
      </c>
    </row>
    <row r="20" spans="2:7" x14ac:dyDescent="0.25">
      <c r="C20" t="s">
        <v>66</v>
      </c>
      <c r="D20" s="484">
        <v>36000000</v>
      </c>
      <c r="E20" s="484">
        <v>36000000</v>
      </c>
      <c r="F20" s="484">
        <v>0</v>
      </c>
      <c r="G20" s="485">
        <v>1</v>
      </c>
    </row>
    <row r="21" spans="2:7" x14ac:dyDescent="0.25">
      <c r="C21" t="s">
        <v>65</v>
      </c>
      <c r="D21" s="484">
        <v>42000000</v>
      </c>
      <c r="E21" s="484">
        <v>42000000</v>
      </c>
      <c r="F21" s="484">
        <v>0</v>
      </c>
      <c r="G21" s="485">
        <v>1</v>
      </c>
    </row>
    <row r="22" spans="2:7" x14ac:dyDescent="0.25">
      <c r="C22" t="s">
        <v>276</v>
      </c>
      <c r="D22" s="484">
        <v>8549555</v>
      </c>
      <c r="E22" s="484">
        <v>8549555</v>
      </c>
      <c r="F22" s="484">
        <v>0</v>
      </c>
      <c r="G22" s="485">
        <v>1</v>
      </c>
    </row>
    <row r="23" spans="2:7" x14ac:dyDescent="0.25">
      <c r="C23" t="s">
        <v>534</v>
      </c>
      <c r="D23" s="484">
        <v>20000000</v>
      </c>
      <c r="E23" s="484">
        <v>15733333</v>
      </c>
      <c r="F23" s="484">
        <v>4266667</v>
      </c>
      <c r="G23" s="485">
        <v>1</v>
      </c>
    </row>
    <row r="24" spans="2:7" x14ac:dyDescent="0.25">
      <c r="C24" t="s">
        <v>532</v>
      </c>
      <c r="D24" s="484">
        <v>13500000</v>
      </c>
      <c r="E24" s="484">
        <v>11600000</v>
      </c>
      <c r="F24" s="484">
        <v>1900000</v>
      </c>
      <c r="G24" s="485">
        <v>1</v>
      </c>
    </row>
    <row r="25" spans="2:7" x14ac:dyDescent="0.25">
      <c r="C25" t="s">
        <v>106</v>
      </c>
      <c r="D25" s="484">
        <v>35200000</v>
      </c>
      <c r="E25" s="484">
        <v>35200000</v>
      </c>
      <c r="F25" s="484">
        <v>0</v>
      </c>
      <c r="G25" s="485">
        <v>1</v>
      </c>
    </row>
    <row r="26" spans="2:7" x14ac:dyDescent="0.25">
      <c r="C26" t="s">
        <v>125</v>
      </c>
      <c r="D26" s="484">
        <v>35200000</v>
      </c>
      <c r="E26" s="484">
        <v>35200000</v>
      </c>
      <c r="F26" s="484">
        <v>0</v>
      </c>
      <c r="G26" s="485">
        <v>1</v>
      </c>
    </row>
    <row r="27" spans="2:7" x14ac:dyDescent="0.25">
      <c r="C27" t="s">
        <v>676</v>
      </c>
      <c r="D27" s="484">
        <v>6400445</v>
      </c>
      <c r="E27" s="484">
        <v>6400445</v>
      </c>
      <c r="F27" s="484">
        <v>0</v>
      </c>
      <c r="G27" s="485">
        <v>1</v>
      </c>
    </row>
    <row r="28" spans="2:7" x14ac:dyDescent="0.25">
      <c r="B28" t="s">
        <v>377</v>
      </c>
      <c r="C28"/>
      <c r="D28" s="484">
        <v>478700000</v>
      </c>
      <c r="E28" s="484">
        <v>461003333</v>
      </c>
      <c r="F28" s="484">
        <v>17696667</v>
      </c>
      <c r="G28" s="485">
        <v>20</v>
      </c>
    </row>
    <row r="29" spans="2:7" x14ac:dyDescent="0.25">
      <c r="B29" t="s">
        <v>374</v>
      </c>
      <c r="C29" t="s">
        <v>678</v>
      </c>
      <c r="D29" s="484">
        <v>8000000</v>
      </c>
      <c r="E29" s="484"/>
      <c r="F29" s="484">
        <v>8000000</v>
      </c>
      <c r="G29" s="485">
        <v>1</v>
      </c>
    </row>
    <row r="30" spans="2:7" x14ac:dyDescent="0.25">
      <c r="B30" t="s">
        <v>719</v>
      </c>
      <c r="C30"/>
      <c r="D30" s="484">
        <v>8000000</v>
      </c>
      <c r="E30" s="484"/>
      <c r="F30" s="484">
        <v>8000000</v>
      </c>
      <c r="G30" s="485">
        <v>1</v>
      </c>
    </row>
    <row r="31" spans="2:7" x14ac:dyDescent="0.25">
      <c r="B31" t="s">
        <v>590</v>
      </c>
      <c r="C31" t="s">
        <v>72</v>
      </c>
      <c r="D31" s="484">
        <v>9898397</v>
      </c>
      <c r="E31" s="484">
        <v>1716875</v>
      </c>
      <c r="F31" s="484">
        <v>8181522</v>
      </c>
      <c r="G31" s="485">
        <v>1</v>
      </c>
    </row>
    <row r="32" spans="2:7" x14ac:dyDescent="0.25">
      <c r="B32" t="s">
        <v>599</v>
      </c>
      <c r="C32"/>
      <c r="D32" s="484">
        <v>9898397</v>
      </c>
      <c r="E32" s="484">
        <v>1716875</v>
      </c>
      <c r="F32" s="484">
        <v>8181522</v>
      </c>
      <c r="G32" s="485">
        <v>1</v>
      </c>
    </row>
    <row r="33" spans="1:7" ht="45" x14ac:dyDescent="0.25">
      <c r="A33" s="4" t="s">
        <v>432</v>
      </c>
      <c r="B33" s="4"/>
      <c r="D33" s="484">
        <v>496598397</v>
      </c>
      <c r="E33" s="484">
        <v>462720208</v>
      </c>
      <c r="F33" s="484">
        <v>33878189</v>
      </c>
      <c r="G33" s="485">
        <v>22</v>
      </c>
    </row>
    <row r="34" spans="1:7" x14ac:dyDescent="0.25">
      <c r="A34" s="4" t="s">
        <v>364</v>
      </c>
      <c r="B34" s="4"/>
      <c r="D34" s="484">
        <v>501398397</v>
      </c>
      <c r="E34" s="484">
        <v>467520208</v>
      </c>
      <c r="F34" s="484">
        <v>33878189</v>
      </c>
      <c r="G34" s="485">
        <v>23</v>
      </c>
    </row>
    <row r="35" spans="1:7" x14ac:dyDescent="0.25">
      <c r="A35"/>
      <c r="C35"/>
    </row>
    <row r="58" spans="1:3" ht="30" x14ac:dyDescent="0.25">
      <c r="A58" s="288" t="s">
        <v>600</v>
      </c>
      <c r="B58" s="286" t="s">
        <v>611</v>
      </c>
      <c r="C58" s="288" t="s">
        <v>610</v>
      </c>
    </row>
    <row r="59" spans="1:3" ht="180" x14ac:dyDescent="0.25">
      <c r="A59" s="281" t="str">
        <f>+'PLAN CONTRATACIÓN 2017'!D198</f>
        <v>Producir y emitir  microprogramas de radio  para  visibilizar las acciones, los hechos regionales, ejes estratégicos y   proyectos que adelanta  la  Región  Central Rape</v>
      </c>
      <c r="B59" s="282">
        <f>+'PLAN CONTRATACIÓN 2017'!P198</f>
        <v>0</v>
      </c>
      <c r="C59" s="281"/>
    </row>
    <row r="60" spans="1:3" ht="75" x14ac:dyDescent="0.25">
      <c r="A60" s="281" t="s">
        <v>601</v>
      </c>
      <c r="B60" s="283">
        <f>+'PLAN CONTRATACIÓN 2017'!P174+'PLAN CONTRATACIÓN 2017'!P195+'PLAN CONTRATACIÓN 2017'!P199</f>
        <v>0</v>
      </c>
      <c r="C60" s="281"/>
    </row>
    <row r="61" spans="1:3" x14ac:dyDescent="0.25">
      <c r="A61" s="289" t="s">
        <v>440</v>
      </c>
      <c r="B61" s="285">
        <f>SUM(B59:B60)</f>
        <v>0</v>
      </c>
      <c r="C61" s="289" t="s">
        <v>612</v>
      </c>
    </row>
    <row r="62" spans="1:3" ht="45" x14ac:dyDescent="0.25">
      <c r="A62" s="290" t="s">
        <v>602</v>
      </c>
      <c r="B62" s="280"/>
      <c r="C62" s="281"/>
    </row>
    <row r="63" spans="1:3" x14ac:dyDescent="0.25">
      <c r="A63" s="281" t="s">
        <v>603</v>
      </c>
      <c r="B63" s="283">
        <f>80000000-72752238</f>
        <v>7247762</v>
      </c>
      <c r="C63" s="281"/>
    </row>
    <row r="64" spans="1:3" x14ac:dyDescent="0.25">
      <c r="A64" s="281" t="s">
        <v>604</v>
      </c>
      <c r="B64" s="283">
        <f>+'PLAN CONTRATACIÓN 2017'!P163</f>
        <v>0</v>
      </c>
      <c r="C64" s="281"/>
    </row>
    <row r="65" spans="1:5" x14ac:dyDescent="0.25">
      <c r="A65" s="289" t="s">
        <v>439</v>
      </c>
      <c r="B65" s="285">
        <f>SUM(B63:B64)</f>
        <v>7247762</v>
      </c>
      <c r="C65" s="289" t="s">
        <v>609</v>
      </c>
    </row>
    <row r="66" spans="1:5" ht="45" x14ac:dyDescent="0.25">
      <c r="A66" s="290" t="s">
        <v>605</v>
      </c>
      <c r="B66" s="280"/>
      <c r="C66" s="281"/>
    </row>
    <row r="67" spans="1:5" x14ac:dyDescent="0.25">
      <c r="A67" s="281" t="s">
        <v>606</v>
      </c>
      <c r="B67" s="283">
        <f>+'PLAN CONTRATACIÓN 2017'!P214+'PLAN CONTRATACIÓN 2017'!P219</f>
        <v>0</v>
      </c>
      <c r="C67" s="281"/>
    </row>
    <row r="68" spans="1:5" x14ac:dyDescent="0.25">
      <c r="A68" s="281" t="s">
        <v>607</v>
      </c>
      <c r="B68" s="284">
        <v>70000000</v>
      </c>
      <c r="C68" s="281"/>
      <c r="D68" t="s">
        <v>613</v>
      </c>
      <c r="E68" s="1">
        <v>35000000</v>
      </c>
    </row>
    <row r="69" spans="1:5" x14ac:dyDescent="0.25">
      <c r="A69" s="289" t="s">
        <v>439</v>
      </c>
      <c r="B69" s="285">
        <f>+B68+B67</f>
        <v>70000000</v>
      </c>
      <c r="C69" s="289" t="s">
        <v>608</v>
      </c>
      <c r="D69" t="s">
        <v>614</v>
      </c>
      <c r="E69" s="259">
        <f>+B69-E68</f>
        <v>35000000</v>
      </c>
    </row>
  </sheetData>
  <printOptions horizontalCentered="1"/>
  <pageMargins left="0.70866141732283472" right="0.70866141732283472" top="0.74803149606299213" bottom="0.74803149606299213" header="0.31496062992125984" footer="0.31496062992125984"/>
  <pageSetup scale="50"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83"/>
  <sheetViews>
    <sheetView showGridLines="0" view="pageBreakPreview" zoomScaleNormal="85" zoomScaleSheetLayoutView="100" workbookViewId="0">
      <selection activeCell="F6" sqref="F6"/>
    </sheetView>
  </sheetViews>
  <sheetFormatPr baseColWidth="10" defaultRowHeight="15" x14ac:dyDescent="0.25"/>
  <cols>
    <col min="1" max="1" width="19" style="20" customWidth="1"/>
    <col min="2" max="2" width="13.28515625" style="20" customWidth="1"/>
    <col min="3" max="3" width="29.42578125" style="20" customWidth="1"/>
    <col min="4" max="4" width="12.7109375" style="20" customWidth="1"/>
    <col min="5" max="5" width="13.5703125" style="22" customWidth="1"/>
    <col min="6" max="6" width="95.28515625" style="23" customWidth="1"/>
    <col min="7" max="7" width="19.28515625" style="321" bestFit="1" customWidth="1"/>
    <col min="8" max="8" width="7.140625" style="19" bestFit="1" customWidth="1"/>
    <col min="9" max="9" width="12.5703125" style="19" bestFit="1" customWidth="1"/>
    <col min="10" max="20" width="11" style="19" bestFit="1" customWidth="1"/>
    <col min="21" max="22" width="12.5703125" style="19" bestFit="1" customWidth="1"/>
    <col min="23" max="23" width="16.28515625" style="19" bestFit="1" customWidth="1"/>
    <col min="24" max="24" width="22.5703125" style="19" bestFit="1" customWidth="1"/>
    <col min="25" max="25" width="16.28515625" style="19" bestFit="1" customWidth="1"/>
    <col min="26" max="26" width="22.5703125" style="19" bestFit="1" customWidth="1"/>
    <col min="27" max="27" width="16.28515625" style="19" bestFit="1" customWidth="1"/>
    <col min="28" max="28" width="27.5703125" style="19" bestFit="1" customWidth="1"/>
    <col min="29" max="29" width="21.28515625" style="19" bestFit="1" customWidth="1"/>
    <col min="30" max="30" width="9.7109375" style="19" bestFit="1" customWidth="1"/>
    <col min="31" max="31" width="10.7109375" style="19" bestFit="1" customWidth="1"/>
    <col min="32" max="32" width="9.7109375" style="19" bestFit="1" customWidth="1"/>
    <col min="33" max="42" width="10.7109375" style="19" bestFit="1" customWidth="1"/>
    <col min="43" max="44" width="9.7109375" style="19" bestFit="1" customWidth="1"/>
    <col min="45" max="46" width="10.7109375" style="19" bestFit="1" customWidth="1"/>
    <col min="47" max="49" width="9.7109375" style="19" bestFit="1" customWidth="1"/>
    <col min="50" max="57" width="10.7109375" style="19" bestFit="1" customWidth="1"/>
    <col min="58" max="59" width="9.7109375" style="19" bestFit="1" customWidth="1"/>
    <col min="60" max="61" width="10.7109375" style="19" bestFit="1" customWidth="1"/>
    <col min="62" max="63" width="9.7109375" style="19" bestFit="1" customWidth="1"/>
    <col min="64" max="64" width="11" style="19" bestFit="1" customWidth="1"/>
    <col min="65" max="65" width="12.5703125" style="19" bestFit="1" customWidth="1"/>
    <col min="66" max="16384" width="11.42578125" style="19"/>
  </cols>
  <sheetData>
    <row r="1" spans="1:22" x14ac:dyDescent="0.25">
      <c r="A1" s="2" t="s">
        <v>122</v>
      </c>
      <c r="B1" t="s">
        <v>585</v>
      </c>
      <c r="E1" s="20"/>
      <c r="F1" s="20"/>
      <c r="G1" s="23"/>
      <c r="H1" s="20"/>
    </row>
    <row r="2" spans="1:22" x14ac:dyDescent="0.25">
      <c r="D2" s="21"/>
    </row>
    <row r="3" spans="1:22" ht="30" x14ac:dyDescent="0.25">
      <c r="A3" s="5" t="s">
        <v>365</v>
      </c>
      <c r="B3" s="4"/>
      <c r="C3" s="4"/>
      <c r="D3" s="4"/>
      <c r="E3" s="4"/>
      <c r="F3" s="4"/>
      <c r="G3" s="4"/>
      <c r="H3" s="2" t="s">
        <v>366</v>
      </c>
      <c r="I3"/>
      <c r="J3"/>
      <c r="K3"/>
      <c r="L3"/>
      <c r="M3"/>
      <c r="N3"/>
      <c r="O3"/>
      <c r="P3"/>
      <c r="Q3"/>
      <c r="R3"/>
      <c r="S3"/>
      <c r="T3"/>
      <c r="U3"/>
      <c r="V3"/>
    </row>
    <row r="4" spans="1:22" x14ac:dyDescent="0.25">
      <c r="A4" s="2" t="s">
        <v>39</v>
      </c>
      <c r="B4" s="2" t="s">
        <v>368</v>
      </c>
      <c r="C4" s="2" t="s">
        <v>115</v>
      </c>
      <c r="D4" s="2" t="s">
        <v>339</v>
      </c>
      <c r="E4" s="2" t="s">
        <v>2</v>
      </c>
      <c r="F4" s="2" t="s">
        <v>119</v>
      </c>
      <c r="G4" s="2" t="s">
        <v>120</v>
      </c>
      <c r="H4" s="9">
        <v>11</v>
      </c>
      <c r="I4" t="s">
        <v>364</v>
      </c>
      <c r="J4"/>
      <c r="K4"/>
      <c r="L4"/>
      <c r="M4"/>
      <c r="N4"/>
      <c r="O4"/>
      <c r="P4"/>
      <c r="Q4"/>
      <c r="R4"/>
      <c r="S4"/>
      <c r="T4"/>
      <c r="U4"/>
      <c r="V4"/>
    </row>
    <row r="5" spans="1:22" x14ac:dyDescent="0.25">
      <c r="A5" t="s">
        <v>1</v>
      </c>
      <c r="B5" t="s">
        <v>369</v>
      </c>
      <c r="C5" t="s">
        <v>60</v>
      </c>
      <c r="D5" t="s">
        <v>133</v>
      </c>
      <c r="E5">
        <v>252</v>
      </c>
      <c r="F5" t="s">
        <v>657</v>
      </c>
      <c r="G5">
        <v>32763230</v>
      </c>
      <c r="H5" s="3">
        <v>1</v>
      </c>
      <c r="I5" s="3">
        <v>1</v>
      </c>
      <c r="J5"/>
      <c r="K5"/>
      <c r="L5"/>
      <c r="M5"/>
      <c r="N5"/>
      <c r="O5"/>
      <c r="P5"/>
      <c r="Q5"/>
      <c r="R5"/>
      <c r="S5"/>
      <c r="T5"/>
      <c r="U5"/>
      <c r="V5"/>
    </row>
    <row r="6" spans="1:22" x14ac:dyDescent="0.25">
      <c r="A6"/>
      <c r="B6"/>
      <c r="C6" t="s">
        <v>113</v>
      </c>
      <c r="D6" t="s">
        <v>308</v>
      </c>
      <c r="E6">
        <v>253</v>
      </c>
      <c r="F6" t="s">
        <v>658</v>
      </c>
      <c r="G6">
        <v>41490572</v>
      </c>
      <c r="H6" s="3">
        <v>1</v>
      </c>
      <c r="I6" s="3">
        <v>1</v>
      </c>
      <c r="J6"/>
      <c r="K6"/>
      <c r="L6"/>
      <c r="M6"/>
      <c r="N6"/>
      <c r="O6"/>
      <c r="P6"/>
      <c r="Q6"/>
      <c r="R6"/>
      <c r="S6"/>
      <c r="T6"/>
      <c r="U6"/>
      <c r="V6"/>
    </row>
    <row r="7" spans="1:22" x14ac:dyDescent="0.25">
      <c r="A7"/>
      <c r="B7" t="s">
        <v>370</v>
      </c>
      <c r="C7" t="s">
        <v>60</v>
      </c>
      <c r="D7" t="s">
        <v>133</v>
      </c>
      <c r="E7">
        <v>147</v>
      </c>
      <c r="F7" t="s">
        <v>656</v>
      </c>
      <c r="G7">
        <v>7000000</v>
      </c>
      <c r="H7" s="3">
        <v>1</v>
      </c>
      <c r="I7" s="3">
        <v>1</v>
      </c>
      <c r="J7"/>
      <c r="K7"/>
      <c r="L7"/>
      <c r="M7"/>
      <c r="N7"/>
      <c r="O7"/>
      <c r="P7"/>
      <c r="Q7"/>
      <c r="R7"/>
      <c r="S7"/>
      <c r="T7"/>
      <c r="U7"/>
      <c r="V7"/>
    </row>
    <row r="8" spans="1:22" x14ac:dyDescent="0.25">
      <c r="A8" t="s">
        <v>431</v>
      </c>
      <c r="B8"/>
      <c r="C8"/>
      <c r="D8"/>
      <c r="E8"/>
      <c r="F8"/>
      <c r="G8"/>
      <c r="H8" s="3">
        <v>3</v>
      </c>
      <c r="I8" s="3">
        <v>3</v>
      </c>
      <c r="J8"/>
      <c r="K8"/>
      <c r="L8"/>
      <c r="M8"/>
      <c r="N8"/>
      <c r="O8"/>
      <c r="P8"/>
      <c r="Q8"/>
      <c r="R8"/>
      <c r="S8"/>
      <c r="T8"/>
      <c r="U8"/>
      <c r="V8"/>
    </row>
    <row r="9" spans="1:22" x14ac:dyDescent="0.25">
      <c r="A9" t="s">
        <v>0</v>
      </c>
      <c r="B9" t="s">
        <v>369</v>
      </c>
      <c r="C9" t="s">
        <v>60</v>
      </c>
      <c r="D9" t="s">
        <v>133</v>
      </c>
      <c r="E9">
        <v>157</v>
      </c>
      <c r="F9" t="s">
        <v>545</v>
      </c>
      <c r="G9">
        <v>13500000</v>
      </c>
      <c r="H9" s="3">
        <v>1</v>
      </c>
      <c r="I9" s="3">
        <v>1</v>
      </c>
      <c r="J9"/>
      <c r="K9"/>
      <c r="L9"/>
      <c r="M9"/>
      <c r="N9"/>
      <c r="O9"/>
      <c r="P9"/>
      <c r="Q9"/>
      <c r="R9"/>
      <c r="S9"/>
      <c r="T9"/>
      <c r="U9"/>
      <c r="V9"/>
    </row>
    <row r="10" spans="1:22" x14ac:dyDescent="0.25">
      <c r="A10" t="s">
        <v>434</v>
      </c>
      <c r="B10"/>
      <c r="C10"/>
      <c r="D10"/>
      <c r="E10"/>
      <c r="F10"/>
      <c r="G10"/>
      <c r="H10" s="3">
        <v>1</v>
      </c>
      <c r="I10" s="3">
        <v>1</v>
      </c>
      <c r="J10"/>
      <c r="K10"/>
      <c r="L10"/>
      <c r="M10"/>
      <c r="N10"/>
      <c r="O10"/>
      <c r="P10"/>
      <c r="Q10"/>
      <c r="R10"/>
      <c r="S10"/>
      <c r="T10"/>
      <c r="U10"/>
      <c r="V10"/>
    </row>
    <row r="11" spans="1:22" x14ac:dyDescent="0.25">
      <c r="A11" t="s">
        <v>3</v>
      </c>
      <c r="B11" t="s">
        <v>369</v>
      </c>
      <c r="C11" t="s">
        <v>60</v>
      </c>
      <c r="D11" t="s">
        <v>389</v>
      </c>
      <c r="E11">
        <v>144</v>
      </c>
      <c r="F11" t="s">
        <v>661</v>
      </c>
      <c r="G11">
        <v>11169866</v>
      </c>
      <c r="H11" s="3">
        <v>1</v>
      </c>
      <c r="I11" s="3">
        <v>1</v>
      </c>
      <c r="J11"/>
      <c r="K11"/>
      <c r="L11"/>
      <c r="M11"/>
      <c r="N11"/>
      <c r="O11"/>
      <c r="P11"/>
      <c r="Q11"/>
      <c r="R11"/>
      <c r="S11"/>
      <c r="T11"/>
      <c r="U11"/>
      <c r="V11"/>
    </row>
    <row r="12" spans="1:22" x14ac:dyDescent="0.25">
      <c r="A12"/>
      <c r="B12"/>
      <c r="C12"/>
      <c r="D12" t="s">
        <v>133</v>
      </c>
      <c r="E12">
        <v>18</v>
      </c>
      <c r="F12" t="s">
        <v>660</v>
      </c>
      <c r="G12">
        <v>5500000</v>
      </c>
      <c r="H12" s="3">
        <v>1</v>
      </c>
      <c r="I12" s="3">
        <v>1</v>
      </c>
      <c r="J12"/>
      <c r="K12"/>
      <c r="L12"/>
      <c r="M12"/>
      <c r="N12"/>
      <c r="O12"/>
      <c r="P12"/>
      <c r="Q12"/>
      <c r="R12"/>
      <c r="S12"/>
      <c r="T12"/>
      <c r="U12"/>
      <c r="V12"/>
    </row>
    <row r="13" spans="1:22" x14ac:dyDescent="0.25">
      <c r="A13"/>
      <c r="B13"/>
      <c r="C13"/>
      <c r="D13"/>
      <c r="E13">
        <v>138</v>
      </c>
      <c r="F13" t="s">
        <v>666</v>
      </c>
      <c r="G13">
        <v>3666667</v>
      </c>
      <c r="H13" s="3">
        <v>1</v>
      </c>
      <c r="I13" s="3">
        <v>1</v>
      </c>
      <c r="J13"/>
      <c r="K13"/>
      <c r="L13"/>
      <c r="M13"/>
      <c r="N13"/>
      <c r="O13"/>
      <c r="P13"/>
      <c r="Q13"/>
      <c r="R13"/>
      <c r="S13"/>
      <c r="T13"/>
      <c r="U13"/>
      <c r="V13"/>
    </row>
    <row r="14" spans="1:22" x14ac:dyDescent="0.25">
      <c r="A14"/>
      <c r="B14"/>
      <c r="C14"/>
      <c r="D14"/>
      <c r="E14">
        <v>251</v>
      </c>
      <c r="F14" t="s">
        <v>657</v>
      </c>
      <c r="G14">
        <v>2236770</v>
      </c>
      <c r="H14" s="3">
        <v>1</v>
      </c>
      <c r="I14" s="3">
        <v>1</v>
      </c>
      <c r="J14"/>
      <c r="K14"/>
      <c r="L14"/>
      <c r="M14"/>
      <c r="N14"/>
      <c r="O14"/>
      <c r="P14"/>
      <c r="Q14"/>
      <c r="R14"/>
      <c r="S14"/>
      <c r="T14"/>
      <c r="U14"/>
      <c r="V14"/>
    </row>
    <row r="15" spans="1:22" x14ac:dyDescent="0.25">
      <c r="A15"/>
      <c r="B15" t="s">
        <v>370</v>
      </c>
      <c r="C15" t="s">
        <v>60</v>
      </c>
      <c r="D15" t="s">
        <v>299</v>
      </c>
      <c r="E15">
        <v>13</v>
      </c>
      <c r="F15" t="s">
        <v>659</v>
      </c>
      <c r="G15">
        <v>300000000</v>
      </c>
      <c r="H15" s="3">
        <v>1</v>
      </c>
      <c r="I15" s="3">
        <v>1</v>
      </c>
      <c r="J15"/>
      <c r="K15"/>
      <c r="L15"/>
      <c r="M15"/>
      <c r="N15"/>
      <c r="O15"/>
      <c r="P15"/>
      <c r="Q15"/>
      <c r="R15"/>
      <c r="S15"/>
      <c r="T15"/>
      <c r="U15"/>
      <c r="V15"/>
    </row>
    <row r="16" spans="1:22" x14ac:dyDescent="0.25">
      <c r="A16"/>
      <c r="B16"/>
      <c r="C16"/>
      <c r="D16" t="s">
        <v>133</v>
      </c>
      <c r="E16">
        <v>136</v>
      </c>
      <c r="F16" t="s">
        <v>651</v>
      </c>
      <c r="G16">
        <v>3083333</v>
      </c>
      <c r="H16" s="3">
        <v>1</v>
      </c>
      <c r="I16" s="3">
        <v>1</v>
      </c>
      <c r="J16"/>
      <c r="K16"/>
      <c r="L16"/>
      <c r="M16"/>
      <c r="N16"/>
      <c r="O16"/>
      <c r="P16"/>
      <c r="Q16"/>
      <c r="R16"/>
      <c r="S16"/>
      <c r="T16"/>
      <c r="U16"/>
      <c r="V16"/>
    </row>
    <row r="17" spans="1:22" x14ac:dyDescent="0.25">
      <c r="A17" t="s">
        <v>436</v>
      </c>
      <c r="B17"/>
      <c r="C17"/>
      <c r="D17"/>
      <c r="E17"/>
      <c r="F17"/>
      <c r="G17"/>
      <c r="H17" s="3">
        <v>6</v>
      </c>
      <c r="I17" s="3">
        <v>6</v>
      </c>
      <c r="J17"/>
      <c r="K17"/>
      <c r="L17"/>
      <c r="M17"/>
      <c r="N17"/>
      <c r="O17"/>
      <c r="P17"/>
      <c r="Q17"/>
      <c r="R17"/>
      <c r="S17"/>
      <c r="T17"/>
      <c r="U17"/>
      <c r="V17"/>
    </row>
    <row r="18" spans="1:22" x14ac:dyDescent="0.25">
      <c r="A18" t="s">
        <v>19</v>
      </c>
      <c r="B18" t="s">
        <v>369</v>
      </c>
      <c r="C18" t="s">
        <v>60</v>
      </c>
      <c r="D18" t="s">
        <v>133</v>
      </c>
      <c r="E18">
        <v>9</v>
      </c>
      <c r="F18" t="s">
        <v>647</v>
      </c>
      <c r="G18">
        <v>4721600</v>
      </c>
      <c r="H18" s="3">
        <v>1</v>
      </c>
      <c r="I18" s="3">
        <v>1</v>
      </c>
      <c r="J18"/>
      <c r="K18"/>
      <c r="L18"/>
      <c r="M18"/>
      <c r="N18"/>
      <c r="O18"/>
      <c r="P18"/>
      <c r="Q18"/>
      <c r="R18"/>
      <c r="S18"/>
      <c r="T18"/>
      <c r="U18"/>
      <c r="V18"/>
    </row>
    <row r="19" spans="1:22" x14ac:dyDescent="0.25">
      <c r="A19"/>
      <c r="B19"/>
      <c r="C19"/>
      <c r="D19"/>
      <c r="E19">
        <v>10</v>
      </c>
      <c r="F19" t="s">
        <v>649</v>
      </c>
      <c r="G19">
        <v>4721600</v>
      </c>
      <c r="H19" s="3">
        <v>1</v>
      </c>
      <c r="I19" s="3">
        <v>1</v>
      </c>
      <c r="J19"/>
      <c r="K19"/>
      <c r="L19"/>
      <c r="M19"/>
      <c r="N19"/>
      <c r="O19"/>
      <c r="P19"/>
      <c r="Q19"/>
      <c r="R19"/>
      <c r="S19"/>
      <c r="T19"/>
      <c r="U19"/>
      <c r="V19"/>
    </row>
    <row r="20" spans="1:22" x14ac:dyDescent="0.25">
      <c r="A20"/>
      <c r="B20" t="s">
        <v>374</v>
      </c>
      <c r="C20" t="s">
        <v>60</v>
      </c>
      <c r="D20" t="s">
        <v>389</v>
      </c>
      <c r="E20">
        <v>144</v>
      </c>
      <c r="F20" t="s">
        <v>661</v>
      </c>
      <c r="G20">
        <v>21830134</v>
      </c>
      <c r="H20" s="3">
        <v>1</v>
      </c>
      <c r="I20" s="3">
        <v>1</v>
      </c>
      <c r="J20"/>
      <c r="K20"/>
      <c r="L20"/>
      <c r="M20"/>
      <c r="N20"/>
      <c r="O20"/>
      <c r="P20"/>
      <c r="Q20"/>
      <c r="R20"/>
      <c r="S20"/>
      <c r="T20"/>
      <c r="U20"/>
      <c r="V20"/>
    </row>
    <row r="21" spans="1:22" x14ac:dyDescent="0.25">
      <c r="A21" t="s">
        <v>437</v>
      </c>
      <c r="B21"/>
      <c r="C21"/>
      <c r="D21"/>
      <c r="E21"/>
      <c r="F21"/>
      <c r="G21"/>
      <c r="H21" s="3">
        <v>3</v>
      </c>
      <c r="I21" s="3">
        <v>3</v>
      </c>
      <c r="J21"/>
      <c r="K21"/>
      <c r="L21"/>
      <c r="M21"/>
      <c r="N21"/>
      <c r="O21"/>
      <c r="P21"/>
      <c r="Q21"/>
      <c r="R21"/>
      <c r="S21"/>
      <c r="T21"/>
      <c r="U21"/>
      <c r="V21"/>
    </row>
    <row r="22" spans="1:22" x14ac:dyDescent="0.25">
      <c r="A22" s="4" t="s">
        <v>364</v>
      </c>
      <c r="B22" s="4"/>
      <c r="C22" s="4"/>
      <c r="D22" s="4"/>
      <c r="E22" s="4"/>
      <c r="F22" s="4"/>
      <c r="G22" s="4"/>
      <c r="H22" s="3">
        <v>13</v>
      </c>
      <c r="I22" s="3">
        <v>13</v>
      </c>
      <c r="J22"/>
      <c r="K22"/>
      <c r="L22"/>
      <c r="M22"/>
      <c r="N22"/>
      <c r="O22"/>
      <c r="P22"/>
      <c r="Q22"/>
      <c r="R22"/>
      <c r="S22"/>
      <c r="T22"/>
      <c r="U22"/>
      <c r="V22"/>
    </row>
    <row r="23" spans="1:22" x14ac:dyDescent="0.25">
      <c r="A23"/>
      <c r="B23"/>
      <c r="C23"/>
      <c r="D23"/>
      <c r="E23"/>
      <c r="F23"/>
      <c r="G23"/>
      <c r="H23"/>
      <c r="I23"/>
      <c r="J23"/>
      <c r="K23"/>
      <c r="L23"/>
      <c r="M23"/>
      <c r="N23"/>
      <c r="O23"/>
      <c r="P23"/>
      <c r="Q23"/>
      <c r="R23"/>
      <c r="S23"/>
      <c r="T23"/>
      <c r="U23"/>
      <c r="V23"/>
    </row>
    <row r="24" spans="1:22" x14ac:dyDescent="0.25">
      <c r="A24"/>
      <c r="B24"/>
      <c r="C24"/>
      <c r="D24"/>
      <c r="E24"/>
      <c r="F24"/>
      <c r="G24"/>
      <c r="H24"/>
      <c r="I24"/>
      <c r="J24"/>
      <c r="K24"/>
      <c r="L24"/>
      <c r="M24"/>
      <c r="N24"/>
      <c r="O24"/>
      <c r="P24"/>
      <c r="Q24"/>
      <c r="R24"/>
      <c r="S24"/>
      <c r="T24"/>
      <c r="U24"/>
      <c r="V24"/>
    </row>
    <row r="25" spans="1:22" x14ac:dyDescent="0.25">
      <c r="A25"/>
      <c r="B25"/>
      <c r="C25"/>
      <c r="D25"/>
      <c r="E25"/>
      <c r="F25"/>
      <c r="G25" s="1"/>
      <c r="H25"/>
      <c r="I25"/>
      <c r="J25"/>
      <c r="K25"/>
      <c r="L25"/>
      <c r="M25"/>
      <c r="N25"/>
      <c r="O25"/>
      <c r="P25"/>
      <c r="Q25"/>
      <c r="R25"/>
      <c r="S25"/>
      <c r="T25"/>
      <c r="U25"/>
      <c r="V25"/>
    </row>
    <row r="26" spans="1:22" x14ac:dyDescent="0.25">
      <c r="A26"/>
      <c r="B26"/>
      <c r="C26"/>
      <c r="D26"/>
      <c r="E26"/>
      <c r="F26"/>
      <c r="G26" s="1"/>
      <c r="H26"/>
      <c r="I26"/>
      <c r="J26"/>
      <c r="K26"/>
      <c r="L26"/>
      <c r="M26"/>
      <c r="N26"/>
      <c r="O26"/>
      <c r="P26"/>
      <c r="Q26"/>
      <c r="R26"/>
      <c r="S26"/>
      <c r="T26"/>
      <c r="U26"/>
      <c r="V26"/>
    </row>
    <row r="27" spans="1:22" x14ac:dyDescent="0.25">
      <c r="A27"/>
      <c r="B27"/>
      <c r="C27"/>
      <c r="D27"/>
      <c r="E27"/>
      <c r="F27"/>
      <c r="G27" s="1"/>
      <c r="H27"/>
      <c r="I27"/>
      <c r="J27"/>
      <c r="K27"/>
      <c r="L27"/>
      <c r="M27"/>
      <c r="N27"/>
      <c r="O27"/>
      <c r="P27"/>
      <c r="Q27"/>
      <c r="R27"/>
      <c r="S27"/>
      <c r="T27"/>
      <c r="U27"/>
      <c r="V27"/>
    </row>
    <row r="28" spans="1:22" x14ac:dyDescent="0.25">
      <c r="A28"/>
      <c r="B28"/>
      <c r="C28"/>
      <c r="D28"/>
      <c r="E28"/>
      <c r="F28"/>
      <c r="G28" s="1"/>
      <c r="H28"/>
      <c r="I28"/>
      <c r="J28"/>
      <c r="K28"/>
      <c r="L28"/>
      <c r="M28"/>
      <c r="N28"/>
      <c r="O28"/>
      <c r="P28"/>
      <c r="Q28"/>
      <c r="R28"/>
      <c r="S28"/>
      <c r="T28"/>
      <c r="U28"/>
      <c r="V28"/>
    </row>
    <row r="29" spans="1:22" x14ac:dyDescent="0.25">
      <c r="A29"/>
      <c r="B29"/>
      <c r="C29"/>
      <c r="D29"/>
      <c r="E29"/>
      <c r="F29"/>
      <c r="G29" s="1"/>
      <c r="H29"/>
      <c r="I29"/>
      <c r="J29"/>
      <c r="K29"/>
      <c r="L29"/>
      <c r="M29"/>
      <c r="N29"/>
      <c r="O29"/>
      <c r="P29"/>
      <c r="Q29"/>
      <c r="R29"/>
      <c r="S29"/>
      <c r="T29"/>
      <c r="U29"/>
      <c r="V29"/>
    </row>
    <row r="30" spans="1:22" x14ac:dyDescent="0.25">
      <c r="A30"/>
      <c r="B30"/>
      <c r="C30"/>
      <c r="D30"/>
      <c r="E30"/>
      <c r="F30"/>
      <c r="G30" s="1"/>
      <c r="H30"/>
      <c r="I30"/>
      <c r="J30"/>
      <c r="K30"/>
      <c r="L30"/>
      <c r="M30"/>
      <c r="N30"/>
      <c r="O30"/>
      <c r="P30"/>
      <c r="Q30"/>
      <c r="R30"/>
      <c r="S30"/>
      <c r="T30"/>
      <c r="U30"/>
      <c r="V30"/>
    </row>
    <row r="31" spans="1:22" x14ac:dyDescent="0.25">
      <c r="A31"/>
      <c r="B31"/>
      <c r="C31"/>
      <c r="D31"/>
      <c r="E31"/>
      <c r="F31"/>
      <c r="G31" s="1"/>
      <c r="H31"/>
      <c r="I31"/>
      <c r="J31"/>
      <c r="K31"/>
      <c r="L31"/>
      <c r="M31"/>
      <c r="N31"/>
      <c r="O31"/>
      <c r="P31"/>
      <c r="Q31"/>
      <c r="R31"/>
      <c r="S31"/>
      <c r="T31"/>
      <c r="U31"/>
      <c r="V31"/>
    </row>
    <row r="32" spans="1:22" x14ac:dyDescent="0.25">
      <c r="A32"/>
      <c r="B32"/>
      <c r="C32"/>
      <c r="D32"/>
      <c r="E32"/>
      <c r="F32"/>
      <c r="G32" s="1"/>
      <c r="H32"/>
      <c r="I32"/>
      <c r="J32"/>
      <c r="K32"/>
      <c r="L32"/>
      <c r="M32"/>
      <c r="N32"/>
      <c r="O32"/>
      <c r="P32"/>
      <c r="Q32"/>
      <c r="R32"/>
      <c r="S32"/>
      <c r="T32"/>
      <c r="U32"/>
      <c r="V32"/>
    </row>
    <row r="33" spans="1:22" x14ac:dyDescent="0.25">
      <c r="A33"/>
      <c r="B33"/>
      <c r="C33"/>
      <c r="D33"/>
      <c r="E33"/>
      <c r="F33"/>
      <c r="G33" s="1"/>
      <c r="H33"/>
      <c r="I33"/>
      <c r="J33"/>
      <c r="K33"/>
      <c r="L33"/>
      <c r="M33"/>
      <c r="N33"/>
      <c r="O33"/>
      <c r="P33"/>
      <c r="Q33"/>
      <c r="R33"/>
      <c r="S33"/>
      <c r="T33"/>
      <c r="U33"/>
      <c r="V33"/>
    </row>
    <row r="34" spans="1:22" x14ac:dyDescent="0.25">
      <c r="A34"/>
      <c r="B34"/>
      <c r="C34"/>
      <c r="D34"/>
      <c r="E34"/>
      <c r="F34"/>
      <c r="G34" s="1"/>
      <c r="H34"/>
      <c r="I34"/>
      <c r="J34"/>
      <c r="K34"/>
      <c r="L34"/>
      <c r="M34"/>
      <c r="N34"/>
      <c r="O34"/>
      <c r="P34"/>
      <c r="Q34"/>
      <c r="R34"/>
      <c r="S34"/>
      <c r="T34"/>
      <c r="U34"/>
      <c r="V34"/>
    </row>
    <row r="35" spans="1:22" x14ac:dyDescent="0.25">
      <c r="A35"/>
      <c r="B35"/>
      <c r="C35"/>
      <c r="D35"/>
      <c r="E35"/>
      <c r="F35"/>
      <c r="G35" s="1"/>
      <c r="H35"/>
      <c r="I35"/>
      <c r="J35"/>
      <c r="K35"/>
      <c r="L35"/>
      <c r="M35"/>
      <c r="N35"/>
      <c r="O35"/>
      <c r="P35"/>
      <c r="Q35"/>
      <c r="R35"/>
      <c r="S35"/>
      <c r="T35"/>
      <c r="U35"/>
      <c r="V35"/>
    </row>
    <row r="36" spans="1:22" x14ac:dyDescent="0.25">
      <c r="A36"/>
      <c r="B36"/>
      <c r="C36"/>
      <c r="D36"/>
      <c r="E36"/>
      <c r="F36"/>
      <c r="G36" s="1"/>
      <c r="H36"/>
      <c r="I36"/>
      <c r="J36"/>
      <c r="K36"/>
      <c r="L36"/>
      <c r="M36"/>
      <c r="N36"/>
      <c r="O36"/>
      <c r="P36"/>
      <c r="Q36"/>
      <c r="R36"/>
      <c r="S36"/>
      <c r="T36"/>
      <c r="U36"/>
      <c r="V36"/>
    </row>
    <row r="37" spans="1:22" x14ac:dyDescent="0.25">
      <c r="A37"/>
      <c r="B37"/>
      <c r="C37"/>
      <c r="D37"/>
      <c r="E37"/>
      <c r="F37"/>
      <c r="G37" s="1"/>
      <c r="H37"/>
      <c r="I37"/>
      <c r="J37"/>
      <c r="K37"/>
      <c r="L37"/>
      <c r="M37"/>
      <c r="N37"/>
      <c r="O37"/>
      <c r="P37"/>
      <c r="Q37"/>
      <c r="R37"/>
      <c r="S37"/>
      <c r="T37"/>
      <c r="U37"/>
      <c r="V37"/>
    </row>
    <row r="38" spans="1:22" x14ac:dyDescent="0.25">
      <c r="A38"/>
      <c r="B38"/>
      <c r="C38"/>
      <c r="D38"/>
      <c r="E38"/>
      <c r="F38"/>
      <c r="G38" s="1"/>
      <c r="H38"/>
      <c r="I38"/>
      <c r="J38"/>
      <c r="K38"/>
      <c r="L38"/>
      <c r="M38"/>
      <c r="N38"/>
      <c r="O38"/>
      <c r="P38"/>
      <c r="Q38"/>
      <c r="R38"/>
      <c r="S38"/>
      <c r="T38"/>
      <c r="U38"/>
      <c r="V38"/>
    </row>
    <row r="39" spans="1:22" x14ac:dyDescent="0.25">
      <c r="A39"/>
      <c r="B39"/>
      <c r="C39"/>
      <c r="D39"/>
      <c r="E39"/>
      <c r="F39"/>
      <c r="G39" s="1"/>
      <c r="H39"/>
      <c r="I39"/>
      <c r="J39"/>
      <c r="K39"/>
      <c r="L39"/>
      <c r="M39"/>
      <c r="N39"/>
      <c r="O39"/>
      <c r="P39"/>
      <c r="Q39"/>
      <c r="R39"/>
      <c r="S39"/>
      <c r="T39"/>
      <c r="U39"/>
      <c r="V39"/>
    </row>
    <row r="40" spans="1:22" x14ac:dyDescent="0.25">
      <c r="A40"/>
      <c r="B40"/>
      <c r="C40"/>
      <c r="D40"/>
      <c r="E40"/>
      <c r="F40" s="4"/>
      <c r="G40" s="1"/>
      <c r="H40"/>
      <c r="I40"/>
      <c r="J40"/>
      <c r="K40"/>
      <c r="L40"/>
      <c r="M40"/>
      <c r="N40"/>
      <c r="O40"/>
      <c r="P40"/>
      <c r="Q40"/>
      <c r="R40"/>
      <c r="S40"/>
      <c r="T40"/>
      <c r="U40"/>
      <c r="V40"/>
    </row>
    <row r="41" spans="1:22" x14ac:dyDescent="0.25">
      <c r="A41"/>
      <c r="B41"/>
      <c r="C41"/>
      <c r="D41"/>
      <c r="E41"/>
      <c r="F41" s="4"/>
      <c r="G41" s="1"/>
      <c r="H41"/>
      <c r="I41"/>
      <c r="J41"/>
      <c r="K41"/>
      <c r="L41"/>
      <c r="M41"/>
      <c r="N41"/>
      <c r="O41"/>
      <c r="P41"/>
      <c r="Q41"/>
      <c r="R41"/>
      <c r="S41"/>
      <c r="T41"/>
      <c r="U41"/>
      <c r="V41"/>
    </row>
    <row r="42" spans="1:22" x14ac:dyDescent="0.25">
      <c r="A42"/>
      <c r="B42"/>
      <c r="C42"/>
      <c r="D42"/>
      <c r="E42"/>
      <c r="F42" s="4"/>
      <c r="G42" s="1"/>
      <c r="H42"/>
      <c r="I42"/>
      <c r="J42"/>
      <c r="K42"/>
      <c r="L42"/>
      <c r="M42"/>
      <c r="N42"/>
      <c r="O42"/>
      <c r="P42"/>
      <c r="Q42"/>
      <c r="R42"/>
      <c r="S42"/>
      <c r="T42"/>
      <c r="U42"/>
      <c r="V42"/>
    </row>
    <row r="43" spans="1:22" x14ac:dyDescent="0.25">
      <c r="A43"/>
      <c r="B43"/>
      <c r="C43"/>
      <c r="D43"/>
      <c r="E43"/>
      <c r="F43" s="4"/>
      <c r="G43" s="1"/>
      <c r="H43"/>
      <c r="I43"/>
      <c r="J43"/>
      <c r="K43"/>
      <c r="L43"/>
      <c r="M43"/>
      <c r="N43"/>
      <c r="O43"/>
      <c r="P43"/>
      <c r="Q43"/>
      <c r="R43"/>
      <c r="S43"/>
      <c r="T43"/>
      <c r="U43"/>
      <c r="V43"/>
    </row>
    <row r="44" spans="1:22" x14ac:dyDescent="0.25">
      <c r="A44"/>
      <c r="B44"/>
      <c r="C44"/>
      <c r="D44"/>
      <c r="E44"/>
      <c r="F44" s="4"/>
      <c r="G44" s="1"/>
      <c r="H44"/>
      <c r="I44"/>
      <c r="J44"/>
      <c r="K44"/>
      <c r="L44"/>
      <c r="M44"/>
      <c r="N44"/>
      <c r="O44"/>
      <c r="P44"/>
      <c r="Q44"/>
      <c r="R44"/>
      <c r="S44"/>
      <c r="T44"/>
      <c r="U44"/>
      <c r="V44"/>
    </row>
    <row r="45" spans="1:22" x14ac:dyDescent="0.25">
      <c r="A45"/>
      <c r="B45"/>
      <c r="C45"/>
      <c r="D45"/>
      <c r="E45"/>
      <c r="F45" s="4"/>
      <c r="G45" s="1"/>
      <c r="H45"/>
      <c r="I45"/>
      <c r="J45"/>
      <c r="K45"/>
      <c r="L45"/>
      <c r="M45"/>
      <c r="N45"/>
      <c r="O45"/>
      <c r="P45"/>
      <c r="Q45"/>
      <c r="R45"/>
      <c r="S45"/>
      <c r="T45"/>
      <c r="U45"/>
      <c r="V45"/>
    </row>
    <row r="46" spans="1:22" x14ac:dyDescent="0.25">
      <c r="A46"/>
      <c r="B46"/>
      <c r="C46"/>
      <c r="D46"/>
      <c r="E46"/>
      <c r="F46" s="4"/>
      <c r="G46" s="1"/>
      <c r="H46"/>
      <c r="I46"/>
      <c r="J46"/>
      <c r="K46"/>
      <c r="L46"/>
      <c r="M46"/>
      <c r="N46"/>
      <c r="O46"/>
      <c r="P46"/>
      <c r="Q46"/>
      <c r="R46"/>
      <c r="S46"/>
      <c r="T46"/>
      <c r="U46"/>
      <c r="V46"/>
    </row>
    <row r="47" spans="1:22" x14ac:dyDescent="0.25">
      <c r="A47"/>
      <c r="B47"/>
      <c r="C47"/>
      <c r="D47"/>
      <c r="E47"/>
      <c r="F47" s="4"/>
      <c r="G47" s="1"/>
      <c r="H47"/>
      <c r="I47"/>
      <c r="J47"/>
      <c r="K47"/>
      <c r="L47"/>
      <c r="M47"/>
      <c r="N47"/>
      <c r="O47"/>
      <c r="P47"/>
      <c r="Q47"/>
      <c r="R47"/>
      <c r="S47"/>
      <c r="T47"/>
      <c r="U47"/>
      <c r="V47"/>
    </row>
    <row r="48" spans="1:22" x14ac:dyDescent="0.25">
      <c r="A48"/>
      <c r="B48"/>
      <c r="C48"/>
      <c r="D48"/>
      <c r="E48"/>
      <c r="F48" s="4"/>
      <c r="G48" s="1"/>
      <c r="H48"/>
      <c r="I48"/>
      <c r="J48"/>
      <c r="K48"/>
      <c r="L48"/>
      <c r="M48"/>
      <c r="N48"/>
      <c r="O48"/>
      <c r="P48"/>
      <c r="Q48"/>
      <c r="R48"/>
      <c r="S48"/>
      <c r="T48"/>
      <c r="U48"/>
      <c r="V48"/>
    </row>
    <row r="49" spans="1:22" x14ac:dyDescent="0.25">
      <c r="A49"/>
      <c r="B49"/>
      <c r="C49"/>
      <c r="D49"/>
      <c r="E49"/>
      <c r="F49" s="4"/>
      <c r="G49" s="1"/>
      <c r="H49"/>
      <c r="I49"/>
      <c r="J49"/>
      <c r="K49"/>
      <c r="L49"/>
      <c r="M49"/>
      <c r="N49"/>
      <c r="O49"/>
      <c r="P49"/>
      <c r="Q49"/>
      <c r="R49"/>
      <c r="S49"/>
      <c r="T49"/>
      <c r="U49"/>
      <c r="V49"/>
    </row>
    <row r="50" spans="1:22" x14ac:dyDescent="0.25">
      <c r="A50"/>
      <c r="B50"/>
      <c r="C50"/>
      <c r="D50"/>
      <c r="E50"/>
      <c r="F50" s="4"/>
      <c r="G50" s="1"/>
      <c r="H50"/>
      <c r="I50"/>
      <c r="J50"/>
      <c r="K50"/>
      <c r="L50"/>
      <c r="M50"/>
      <c r="N50"/>
      <c r="O50"/>
      <c r="P50"/>
      <c r="Q50"/>
      <c r="R50"/>
      <c r="S50"/>
      <c r="T50"/>
      <c r="U50"/>
      <c r="V50"/>
    </row>
    <row r="51" spans="1:22" x14ac:dyDescent="0.25">
      <c r="A51"/>
      <c r="B51"/>
      <c r="C51"/>
      <c r="D51"/>
      <c r="E51"/>
      <c r="F51" s="4"/>
      <c r="G51" s="1"/>
      <c r="H51"/>
      <c r="I51"/>
      <c r="J51"/>
      <c r="K51"/>
      <c r="L51"/>
      <c r="M51"/>
      <c r="N51"/>
      <c r="O51"/>
      <c r="P51"/>
      <c r="Q51"/>
      <c r="R51"/>
      <c r="S51"/>
      <c r="T51"/>
      <c r="U51"/>
      <c r="V51"/>
    </row>
    <row r="52" spans="1:22" x14ac:dyDescent="0.25">
      <c r="A52"/>
      <c r="B52"/>
      <c r="C52"/>
      <c r="D52"/>
      <c r="E52"/>
      <c r="F52" s="4"/>
      <c r="G52" s="1"/>
      <c r="H52"/>
      <c r="I52"/>
      <c r="J52"/>
      <c r="K52"/>
      <c r="L52"/>
      <c r="M52"/>
      <c r="N52"/>
      <c r="O52"/>
      <c r="P52"/>
      <c r="Q52"/>
      <c r="R52"/>
      <c r="S52"/>
      <c r="T52"/>
      <c r="U52"/>
      <c r="V52"/>
    </row>
    <row r="53" spans="1:22" x14ac:dyDescent="0.25">
      <c r="A53"/>
      <c r="B53"/>
      <c r="C53"/>
      <c r="D53"/>
      <c r="E53"/>
      <c r="F53" s="4"/>
      <c r="G53" s="1"/>
      <c r="H53"/>
      <c r="I53"/>
      <c r="J53"/>
      <c r="K53"/>
      <c r="L53"/>
      <c r="M53"/>
      <c r="N53"/>
      <c r="O53"/>
      <c r="P53"/>
      <c r="Q53"/>
      <c r="R53"/>
      <c r="S53"/>
      <c r="T53"/>
      <c r="U53"/>
      <c r="V53"/>
    </row>
    <row r="54" spans="1:22" x14ac:dyDescent="0.25">
      <c r="A54"/>
      <c r="B54"/>
      <c r="C54"/>
      <c r="D54"/>
      <c r="E54"/>
      <c r="F54" s="4"/>
      <c r="G54" s="1"/>
      <c r="H54"/>
      <c r="I54"/>
      <c r="J54"/>
      <c r="K54"/>
      <c r="L54"/>
      <c r="M54"/>
      <c r="N54"/>
      <c r="O54"/>
      <c r="P54"/>
      <c r="Q54"/>
      <c r="R54"/>
      <c r="S54"/>
      <c r="T54"/>
      <c r="U54"/>
      <c r="V54"/>
    </row>
    <row r="55" spans="1:22" x14ac:dyDescent="0.25">
      <c r="A55"/>
      <c r="B55"/>
      <c r="C55"/>
      <c r="D55"/>
      <c r="E55"/>
      <c r="F55" s="4"/>
      <c r="G55" s="1"/>
      <c r="H55"/>
      <c r="I55"/>
      <c r="J55"/>
      <c r="K55"/>
      <c r="L55"/>
      <c r="M55"/>
      <c r="N55"/>
      <c r="O55"/>
      <c r="P55"/>
      <c r="Q55"/>
      <c r="R55"/>
      <c r="S55"/>
      <c r="T55"/>
      <c r="U55"/>
      <c r="V55"/>
    </row>
    <row r="56" spans="1:22" x14ac:dyDescent="0.25">
      <c r="A56"/>
      <c r="B56"/>
      <c r="C56"/>
      <c r="D56"/>
      <c r="E56"/>
      <c r="F56" s="4"/>
      <c r="G56" s="1"/>
      <c r="H56"/>
      <c r="I56"/>
      <c r="J56"/>
      <c r="K56"/>
      <c r="L56"/>
      <c r="M56"/>
      <c r="N56"/>
      <c r="O56"/>
      <c r="P56"/>
      <c r="Q56"/>
      <c r="R56"/>
      <c r="S56"/>
      <c r="T56"/>
      <c r="U56"/>
      <c r="V56"/>
    </row>
    <row r="57" spans="1:22" x14ac:dyDescent="0.25">
      <c r="A57"/>
      <c r="B57"/>
      <c r="C57"/>
      <c r="D57"/>
      <c r="E57"/>
      <c r="F57" s="4"/>
      <c r="G57" s="1"/>
      <c r="H57"/>
      <c r="I57"/>
      <c r="J57"/>
      <c r="K57"/>
      <c r="L57"/>
      <c r="M57"/>
      <c r="N57"/>
      <c r="O57"/>
      <c r="P57"/>
      <c r="Q57"/>
      <c r="R57"/>
      <c r="S57"/>
      <c r="T57"/>
      <c r="U57"/>
      <c r="V57"/>
    </row>
    <row r="58" spans="1:22" x14ac:dyDescent="0.25">
      <c r="A58"/>
      <c r="B58"/>
      <c r="C58"/>
      <c r="D58"/>
      <c r="E58"/>
      <c r="F58" s="4"/>
      <c r="G58" s="1"/>
      <c r="H58"/>
      <c r="I58"/>
      <c r="J58"/>
      <c r="K58"/>
      <c r="L58"/>
      <c r="M58"/>
      <c r="N58"/>
      <c r="O58"/>
      <c r="P58"/>
      <c r="Q58"/>
      <c r="R58"/>
      <c r="S58"/>
      <c r="T58"/>
      <c r="U58"/>
      <c r="V58"/>
    </row>
    <row r="59" spans="1:22" x14ac:dyDescent="0.25">
      <c r="A59"/>
      <c r="B59"/>
      <c r="C59"/>
      <c r="D59"/>
      <c r="E59"/>
      <c r="F59" s="4"/>
      <c r="G59" s="1"/>
      <c r="H59"/>
      <c r="I59"/>
      <c r="J59"/>
      <c r="K59"/>
      <c r="L59"/>
      <c r="M59"/>
      <c r="N59"/>
      <c r="O59"/>
      <c r="P59"/>
      <c r="Q59"/>
      <c r="R59"/>
      <c r="S59"/>
      <c r="T59"/>
      <c r="U59"/>
      <c r="V59"/>
    </row>
    <row r="60" spans="1:22" x14ac:dyDescent="0.25">
      <c r="A60"/>
      <c r="B60"/>
      <c r="C60"/>
      <c r="D60"/>
      <c r="E60"/>
      <c r="F60" s="4"/>
      <c r="G60" s="1"/>
      <c r="H60"/>
      <c r="I60"/>
      <c r="J60"/>
      <c r="K60"/>
      <c r="L60"/>
      <c r="M60"/>
      <c r="N60"/>
      <c r="O60"/>
      <c r="P60"/>
      <c r="Q60"/>
      <c r="R60"/>
      <c r="S60"/>
      <c r="T60"/>
      <c r="U60"/>
      <c r="V60"/>
    </row>
    <row r="61" spans="1:22" x14ac:dyDescent="0.25">
      <c r="A61"/>
      <c r="B61"/>
      <c r="C61"/>
      <c r="D61"/>
      <c r="E61"/>
      <c r="F61" s="4"/>
      <c r="G61" s="1"/>
      <c r="H61"/>
      <c r="I61"/>
      <c r="J61"/>
      <c r="K61"/>
      <c r="L61"/>
      <c r="M61"/>
      <c r="N61"/>
      <c r="O61"/>
      <c r="P61"/>
      <c r="Q61"/>
      <c r="R61"/>
      <c r="S61"/>
      <c r="T61"/>
      <c r="U61"/>
      <c r="V61"/>
    </row>
    <row r="62" spans="1:22" x14ac:dyDescent="0.25">
      <c r="A62"/>
      <c r="B62"/>
      <c r="C62"/>
      <c r="D62"/>
      <c r="E62"/>
      <c r="F62" s="4"/>
      <c r="G62" s="1"/>
      <c r="H62"/>
      <c r="I62"/>
      <c r="J62"/>
      <c r="K62"/>
      <c r="L62"/>
      <c r="M62"/>
      <c r="N62"/>
      <c r="O62"/>
      <c r="P62"/>
      <c r="Q62"/>
      <c r="R62"/>
      <c r="S62"/>
      <c r="T62"/>
      <c r="U62"/>
      <c r="V62"/>
    </row>
    <row r="63" spans="1:22" x14ac:dyDescent="0.25">
      <c r="A63"/>
      <c r="B63"/>
      <c r="C63"/>
      <c r="D63"/>
      <c r="E63"/>
      <c r="F63" s="4"/>
      <c r="G63" s="1"/>
      <c r="H63"/>
      <c r="I63"/>
      <c r="J63"/>
      <c r="K63"/>
      <c r="L63"/>
      <c r="M63"/>
      <c r="N63"/>
      <c r="O63"/>
      <c r="P63"/>
      <c r="Q63"/>
      <c r="R63"/>
      <c r="S63"/>
      <c r="T63"/>
      <c r="U63"/>
      <c r="V63"/>
    </row>
    <row r="64" spans="1:22" x14ac:dyDescent="0.25">
      <c r="A64"/>
      <c r="B64"/>
      <c r="C64"/>
      <c r="D64"/>
      <c r="E64"/>
      <c r="F64" s="4"/>
      <c r="G64" s="1"/>
      <c r="H64"/>
      <c r="I64"/>
      <c r="J64"/>
      <c r="K64"/>
      <c r="L64"/>
      <c r="M64"/>
      <c r="N64"/>
      <c r="O64"/>
      <c r="P64"/>
      <c r="Q64"/>
      <c r="R64"/>
      <c r="S64"/>
      <c r="T64"/>
      <c r="U64"/>
      <c r="V64"/>
    </row>
    <row r="65" spans="1:22" x14ac:dyDescent="0.25">
      <c r="A65"/>
      <c r="B65"/>
      <c r="C65"/>
      <c r="D65"/>
      <c r="E65"/>
      <c r="F65" s="4"/>
      <c r="G65" s="1"/>
      <c r="H65"/>
      <c r="I65"/>
      <c r="J65"/>
      <c r="K65"/>
      <c r="L65"/>
      <c r="M65"/>
      <c r="N65"/>
      <c r="O65"/>
      <c r="P65"/>
      <c r="Q65"/>
      <c r="R65"/>
      <c r="S65"/>
      <c r="T65"/>
      <c r="U65"/>
      <c r="V65"/>
    </row>
    <row r="66" spans="1:22" x14ac:dyDescent="0.25">
      <c r="A66"/>
      <c r="B66"/>
      <c r="C66"/>
      <c r="D66"/>
      <c r="E66"/>
      <c r="F66" s="4"/>
      <c r="G66" s="1"/>
      <c r="H66"/>
      <c r="I66"/>
      <c r="J66"/>
      <c r="K66"/>
      <c r="L66"/>
      <c r="M66"/>
      <c r="N66"/>
      <c r="O66"/>
      <c r="P66"/>
      <c r="Q66"/>
      <c r="R66"/>
      <c r="S66"/>
      <c r="T66"/>
      <c r="U66"/>
      <c r="V66"/>
    </row>
    <row r="67" spans="1:22" x14ac:dyDescent="0.25">
      <c r="A67"/>
      <c r="B67"/>
      <c r="C67"/>
      <c r="D67"/>
      <c r="E67"/>
      <c r="F67" s="4"/>
      <c r="G67" s="1"/>
      <c r="H67"/>
      <c r="I67"/>
      <c r="J67"/>
      <c r="K67"/>
      <c r="L67"/>
      <c r="M67"/>
      <c r="N67"/>
      <c r="O67"/>
      <c r="P67"/>
      <c r="Q67"/>
      <c r="R67"/>
      <c r="S67"/>
      <c r="T67"/>
      <c r="U67"/>
      <c r="V67"/>
    </row>
    <row r="68" spans="1:22" x14ac:dyDescent="0.25">
      <c r="A68"/>
      <c r="B68"/>
      <c r="C68"/>
      <c r="D68"/>
      <c r="E68"/>
      <c r="F68" s="4"/>
      <c r="G68" s="1"/>
      <c r="H68"/>
      <c r="I68"/>
      <c r="J68"/>
      <c r="K68"/>
      <c r="L68"/>
      <c r="M68"/>
      <c r="N68"/>
      <c r="O68"/>
      <c r="P68"/>
      <c r="Q68"/>
      <c r="R68"/>
      <c r="S68"/>
      <c r="T68"/>
      <c r="U68"/>
      <c r="V68"/>
    </row>
    <row r="69" spans="1:22" x14ac:dyDescent="0.25">
      <c r="A69"/>
      <c r="B69"/>
      <c r="C69"/>
      <c r="D69"/>
      <c r="E69"/>
      <c r="F69" s="4"/>
      <c r="G69" s="1"/>
      <c r="H69"/>
      <c r="I69"/>
      <c r="J69"/>
      <c r="K69"/>
      <c r="L69"/>
      <c r="M69"/>
      <c r="N69"/>
      <c r="O69"/>
      <c r="P69"/>
      <c r="Q69"/>
      <c r="R69"/>
      <c r="S69"/>
      <c r="T69"/>
      <c r="U69"/>
      <c r="V69"/>
    </row>
    <row r="70" spans="1:22" x14ac:dyDescent="0.25">
      <c r="A70"/>
      <c r="B70"/>
      <c r="C70"/>
      <c r="D70"/>
      <c r="E70"/>
      <c r="F70" s="4"/>
      <c r="G70" s="1"/>
      <c r="H70"/>
      <c r="I70"/>
      <c r="J70"/>
      <c r="K70"/>
      <c r="L70"/>
      <c r="M70"/>
      <c r="N70"/>
      <c r="O70"/>
      <c r="P70"/>
      <c r="Q70"/>
      <c r="R70"/>
      <c r="S70"/>
      <c r="T70"/>
      <c r="U70"/>
      <c r="V70"/>
    </row>
    <row r="71" spans="1:22" x14ac:dyDescent="0.25">
      <c r="A71"/>
      <c r="B71"/>
      <c r="C71"/>
      <c r="D71"/>
      <c r="E71"/>
      <c r="F71" s="4"/>
      <c r="G71" s="1"/>
      <c r="H71"/>
      <c r="I71"/>
      <c r="J71"/>
      <c r="K71"/>
      <c r="L71"/>
      <c r="M71"/>
      <c r="N71"/>
      <c r="O71"/>
      <c r="P71"/>
      <c r="Q71"/>
      <c r="R71"/>
      <c r="S71"/>
      <c r="T71"/>
      <c r="U71"/>
      <c r="V71"/>
    </row>
    <row r="72" spans="1:22" x14ac:dyDescent="0.25">
      <c r="A72"/>
      <c r="B72"/>
      <c r="C72"/>
      <c r="D72"/>
      <c r="E72"/>
      <c r="F72" s="4"/>
      <c r="G72" s="1"/>
      <c r="H72"/>
      <c r="I72"/>
      <c r="J72"/>
      <c r="K72"/>
      <c r="L72"/>
      <c r="M72"/>
      <c r="N72"/>
      <c r="O72"/>
      <c r="P72"/>
      <c r="Q72"/>
      <c r="R72"/>
      <c r="S72"/>
      <c r="T72"/>
      <c r="U72"/>
      <c r="V72"/>
    </row>
    <row r="73" spans="1:22" x14ac:dyDescent="0.25">
      <c r="A73"/>
      <c r="B73"/>
      <c r="C73"/>
      <c r="D73"/>
      <c r="E73"/>
      <c r="F73" s="4"/>
      <c r="G73" s="1"/>
      <c r="H73"/>
      <c r="I73"/>
      <c r="J73"/>
      <c r="K73"/>
      <c r="L73"/>
      <c r="M73"/>
      <c r="N73"/>
      <c r="O73"/>
      <c r="P73"/>
      <c r="Q73"/>
      <c r="R73"/>
      <c r="S73"/>
      <c r="T73"/>
      <c r="U73"/>
      <c r="V73"/>
    </row>
    <row r="74" spans="1:22" x14ac:dyDescent="0.25">
      <c r="A74"/>
      <c r="B74"/>
      <c r="C74"/>
      <c r="D74"/>
      <c r="E74"/>
      <c r="F74" s="4"/>
      <c r="G74" s="1"/>
      <c r="H74"/>
      <c r="I74"/>
      <c r="J74"/>
      <c r="K74"/>
      <c r="L74"/>
      <c r="M74"/>
      <c r="N74"/>
      <c r="O74"/>
      <c r="P74"/>
      <c r="Q74"/>
      <c r="R74"/>
      <c r="S74"/>
      <c r="T74"/>
      <c r="U74"/>
      <c r="V74"/>
    </row>
    <row r="75" spans="1:22" x14ac:dyDescent="0.25">
      <c r="A75"/>
      <c r="B75"/>
      <c r="C75"/>
      <c r="D75"/>
      <c r="E75"/>
      <c r="F75" s="4"/>
      <c r="G75" s="1"/>
      <c r="H75"/>
      <c r="I75"/>
      <c r="J75"/>
      <c r="K75"/>
      <c r="L75"/>
      <c r="M75"/>
      <c r="N75"/>
      <c r="O75"/>
      <c r="P75"/>
      <c r="Q75"/>
      <c r="R75"/>
      <c r="S75"/>
      <c r="T75"/>
      <c r="U75"/>
      <c r="V75"/>
    </row>
    <row r="76" spans="1:22" x14ac:dyDescent="0.25">
      <c r="A76"/>
      <c r="B76"/>
      <c r="C76"/>
      <c r="D76"/>
      <c r="E76"/>
      <c r="F76" s="4"/>
      <c r="G76" s="1"/>
      <c r="H76"/>
      <c r="I76"/>
      <c r="J76"/>
      <c r="K76"/>
      <c r="L76"/>
      <c r="M76"/>
      <c r="N76"/>
      <c r="O76"/>
      <c r="P76"/>
      <c r="Q76"/>
      <c r="R76"/>
      <c r="S76"/>
      <c r="T76"/>
      <c r="U76"/>
      <c r="V76"/>
    </row>
    <row r="77" spans="1:22" x14ac:dyDescent="0.25">
      <c r="A77"/>
      <c r="B77"/>
      <c r="C77"/>
      <c r="D77"/>
      <c r="E77"/>
      <c r="F77" s="4"/>
      <c r="G77" s="1"/>
      <c r="H77"/>
      <c r="I77"/>
      <c r="J77"/>
      <c r="K77"/>
      <c r="L77"/>
      <c r="M77"/>
      <c r="N77"/>
      <c r="O77"/>
      <c r="P77"/>
      <c r="Q77"/>
      <c r="R77"/>
      <c r="S77"/>
      <c r="T77"/>
      <c r="U77"/>
      <c r="V77"/>
    </row>
    <row r="78" spans="1:22" x14ac:dyDescent="0.25">
      <c r="A78"/>
      <c r="B78"/>
      <c r="C78"/>
      <c r="D78"/>
      <c r="E78"/>
      <c r="F78" s="4"/>
      <c r="G78" s="1"/>
      <c r="H78"/>
      <c r="I78"/>
      <c r="J78"/>
      <c r="K78"/>
      <c r="L78"/>
      <c r="M78"/>
      <c r="N78"/>
      <c r="O78"/>
      <c r="P78"/>
      <c r="Q78"/>
      <c r="R78"/>
      <c r="S78"/>
      <c r="T78"/>
      <c r="U78"/>
      <c r="V78"/>
    </row>
    <row r="79" spans="1:22" x14ac:dyDescent="0.25">
      <c r="A79"/>
      <c r="B79"/>
      <c r="C79"/>
      <c r="D79"/>
      <c r="E79"/>
      <c r="F79" s="4"/>
      <c r="G79" s="1"/>
      <c r="H79"/>
      <c r="I79"/>
      <c r="J79"/>
      <c r="K79"/>
      <c r="L79"/>
      <c r="M79"/>
      <c r="N79"/>
      <c r="O79"/>
      <c r="P79"/>
      <c r="Q79"/>
      <c r="R79"/>
      <c r="S79"/>
      <c r="T79"/>
      <c r="U79"/>
      <c r="V79"/>
    </row>
    <row r="80" spans="1:22" x14ac:dyDescent="0.25">
      <c r="A80"/>
      <c r="B80"/>
      <c r="C80"/>
      <c r="D80"/>
      <c r="E80"/>
      <c r="F80" s="4"/>
      <c r="G80" s="1"/>
      <c r="H80"/>
      <c r="I80"/>
      <c r="J80"/>
      <c r="K80"/>
      <c r="L80"/>
      <c r="M80"/>
      <c r="N80"/>
      <c r="O80"/>
      <c r="P80"/>
      <c r="Q80"/>
      <c r="R80"/>
      <c r="S80"/>
      <c r="T80"/>
      <c r="U80"/>
      <c r="V80"/>
    </row>
    <row r="81" spans="1:22" x14ac:dyDescent="0.25">
      <c r="A81"/>
      <c r="B81"/>
      <c r="C81"/>
      <c r="D81"/>
      <c r="E81"/>
      <c r="F81" s="4"/>
      <c r="G81" s="1"/>
      <c r="H81"/>
      <c r="I81"/>
      <c r="J81"/>
      <c r="K81"/>
      <c r="L81"/>
      <c r="M81"/>
      <c r="N81"/>
      <c r="O81"/>
      <c r="P81"/>
      <c r="Q81"/>
      <c r="R81"/>
      <c r="S81"/>
      <c r="T81"/>
      <c r="U81"/>
      <c r="V81"/>
    </row>
    <row r="82" spans="1:22" x14ac:dyDescent="0.25">
      <c r="A82"/>
      <c r="B82"/>
      <c r="C82"/>
      <c r="D82"/>
      <c r="E82"/>
      <c r="F82" s="4"/>
      <c r="G82" s="1"/>
      <c r="H82"/>
      <c r="I82"/>
      <c r="J82"/>
      <c r="K82"/>
      <c r="L82"/>
      <c r="M82"/>
      <c r="N82"/>
      <c r="O82"/>
      <c r="P82"/>
      <c r="Q82"/>
      <c r="R82"/>
      <c r="S82"/>
      <c r="T82"/>
      <c r="U82"/>
      <c r="V82"/>
    </row>
    <row r="83" spans="1:22" x14ac:dyDescent="0.25">
      <c r="A83"/>
      <c r="B83"/>
      <c r="C83"/>
      <c r="D83"/>
      <c r="E83"/>
      <c r="F83" s="4"/>
      <c r="G83" s="1"/>
      <c r="H83"/>
      <c r="I83"/>
      <c r="J83"/>
      <c r="K83"/>
      <c r="L83"/>
      <c r="M83"/>
      <c r="N83"/>
      <c r="O83"/>
      <c r="P83"/>
      <c r="Q83"/>
      <c r="R83"/>
      <c r="S83"/>
      <c r="T83"/>
      <c r="U83"/>
      <c r="V83"/>
    </row>
    <row r="84" spans="1:22" x14ac:dyDescent="0.25">
      <c r="A84"/>
      <c r="B84"/>
      <c r="C84"/>
      <c r="D84"/>
      <c r="E84"/>
      <c r="F84" s="4"/>
      <c r="G84" s="1"/>
      <c r="H84"/>
      <c r="I84"/>
      <c r="J84"/>
      <c r="K84"/>
      <c r="L84"/>
      <c r="M84"/>
      <c r="N84"/>
      <c r="O84"/>
      <c r="P84"/>
      <c r="Q84"/>
      <c r="R84"/>
      <c r="S84"/>
      <c r="T84"/>
      <c r="U84"/>
      <c r="V84"/>
    </row>
    <row r="85" spans="1:22" x14ac:dyDescent="0.25">
      <c r="A85"/>
      <c r="B85"/>
      <c r="C85"/>
      <c r="D85"/>
      <c r="E85"/>
      <c r="F85" s="4"/>
      <c r="G85" s="1"/>
      <c r="H85"/>
      <c r="I85"/>
      <c r="J85"/>
      <c r="K85"/>
      <c r="L85"/>
      <c r="M85"/>
      <c r="N85"/>
      <c r="O85"/>
      <c r="P85"/>
      <c r="Q85"/>
      <c r="R85"/>
      <c r="S85"/>
      <c r="T85"/>
      <c r="U85"/>
      <c r="V85"/>
    </row>
    <row r="86" spans="1:22" x14ac:dyDescent="0.25">
      <c r="A86"/>
      <c r="B86"/>
      <c r="C86"/>
      <c r="D86"/>
      <c r="E86"/>
      <c r="F86" s="4"/>
      <c r="G86" s="1"/>
      <c r="H86"/>
      <c r="I86"/>
      <c r="J86"/>
      <c r="K86"/>
      <c r="L86"/>
      <c r="M86"/>
      <c r="N86"/>
      <c r="O86"/>
      <c r="P86"/>
      <c r="Q86"/>
      <c r="R86"/>
      <c r="S86"/>
      <c r="T86"/>
      <c r="U86"/>
      <c r="V86"/>
    </row>
    <row r="87" spans="1:22" x14ac:dyDescent="0.25">
      <c r="A87"/>
      <c r="B87"/>
      <c r="C87"/>
      <c r="D87"/>
      <c r="E87"/>
      <c r="F87" s="4"/>
      <c r="G87" s="1"/>
      <c r="H87"/>
      <c r="I87"/>
      <c r="J87"/>
      <c r="K87"/>
      <c r="L87"/>
      <c r="M87"/>
      <c r="N87"/>
      <c r="O87"/>
      <c r="P87"/>
      <c r="Q87"/>
      <c r="R87"/>
      <c r="S87"/>
      <c r="T87"/>
      <c r="U87"/>
      <c r="V87"/>
    </row>
    <row r="88" spans="1:22" x14ac:dyDescent="0.25">
      <c r="A88"/>
      <c r="B88"/>
      <c r="C88"/>
      <c r="D88"/>
      <c r="E88"/>
      <c r="F88" s="4"/>
      <c r="G88" s="1"/>
      <c r="H88"/>
      <c r="I88"/>
      <c r="J88"/>
      <c r="K88"/>
      <c r="L88"/>
      <c r="M88"/>
      <c r="N88"/>
      <c r="O88"/>
      <c r="P88"/>
      <c r="Q88"/>
      <c r="R88"/>
      <c r="S88"/>
      <c r="T88"/>
      <c r="U88"/>
      <c r="V88"/>
    </row>
    <row r="89" spans="1:22" x14ac:dyDescent="0.25">
      <c r="A89"/>
      <c r="B89"/>
      <c r="C89"/>
      <c r="D89"/>
      <c r="E89"/>
      <c r="F89" s="4"/>
      <c r="G89" s="1"/>
      <c r="H89"/>
      <c r="I89"/>
      <c r="J89"/>
      <c r="K89"/>
      <c r="L89"/>
      <c r="M89"/>
      <c r="N89"/>
      <c r="O89"/>
      <c r="P89"/>
      <c r="Q89"/>
      <c r="R89"/>
      <c r="S89"/>
      <c r="T89"/>
      <c r="U89"/>
      <c r="V89"/>
    </row>
    <row r="90" spans="1:22" x14ac:dyDescent="0.25">
      <c r="A90"/>
      <c r="B90"/>
      <c r="C90"/>
      <c r="D90"/>
      <c r="E90"/>
      <c r="F90" s="4"/>
      <c r="G90" s="1"/>
      <c r="H90"/>
      <c r="I90"/>
      <c r="J90"/>
      <c r="K90"/>
      <c r="L90"/>
      <c r="M90"/>
      <c r="N90"/>
      <c r="O90"/>
      <c r="P90"/>
      <c r="Q90"/>
      <c r="R90"/>
      <c r="S90"/>
      <c r="T90"/>
      <c r="U90"/>
      <c r="V90"/>
    </row>
    <row r="91" spans="1:22" x14ac:dyDescent="0.25">
      <c r="A91"/>
      <c r="B91"/>
      <c r="C91"/>
      <c r="D91"/>
      <c r="E91"/>
      <c r="F91" s="4"/>
      <c r="G91" s="1"/>
      <c r="H91"/>
      <c r="I91"/>
      <c r="J91"/>
      <c r="K91"/>
      <c r="L91"/>
      <c r="M91"/>
      <c r="N91"/>
      <c r="O91"/>
      <c r="P91"/>
      <c r="Q91"/>
      <c r="R91"/>
      <c r="S91"/>
      <c r="T91"/>
      <c r="U91"/>
      <c r="V91"/>
    </row>
    <row r="92" spans="1:22" x14ac:dyDescent="0.25">
      <c r="A92"/>
      <c r="B92"/>
      <c r="C92"/>
      <c r="D92"/>
      <c r="E92"/>
      <c r="F92" s="4"/>
      <c r="G92" s="1"/>
      <c r="H92"/>
      <c r="I92"/>
      <c r="J92"/>
      <c r="K92"/>
      <c r="L92"/>
      <c r="M92"/>
      <c r="N92"/>
      <c r="O92"/>
      <c r="P92"/>
      <c r="Q92"/>
      <c r="R92"/>
      <c r="S92"/>
      <c r="T92"/>
      <c r="U92"/>
      <c r="V92"/>
    </row>
    <row r="93" spans="1:22" x14ac:dyDescent="0.25">
      <c r="A93"/>
      <c r="B93"/>
      <c r="C93"/>
      <c r="D93"/>
      <c r="E93"/>
      <c r="F93" s="4"/>
      <c r="G93" s="1"/>
      <c r="H93"/>
      <c r="I93"/>
      <c r="J93"/>
      <c r="K93"/>
      <c r="L93"/>
      <c r="M93"/>
      <c r="N93"/>
      <c r="O93"/>
      <c r="P93"/>
      <c r="Q93"/>
      <c r="R93"/>
      <c r="S93"/>
      <c r="T93"/>
      <c r="U93"/>
      <c r="V93"/>
    </row>
    <row r="94" spans="1:22" x14ac:dyDescent="0.25">
      <c r="A94"/>
      <c r="B94"/>
      <c r="C94"/>
      <c r="D94"/>
      <c r="E94"/>
      <c r="F94" s="4"/>
      <c r="G94" s="1"/>
      <c r="H94"/>
      <c r="I94"/>
      <c r="J94"/>
      <c r="K94"/>
      <c r="L94"/>
      <c r="M94"/>
      <c r="N94"/>
      <c r="O94"/>
      <c r="P94"/>
      <c r="Q94"/>
      <c r="R94"/>
      <c r="S94"/>
      <c r="T94"/>
      <c r="U94"/>
      <c r="V94"/>
    </row>
    <row r="95" spans="1:22" x14ac:dyDescent="0.25">
      <c r="A95"/>
      <c r="B95"/>
      <c r="C95"/>
      <c r="D95"/>
      <c r="E95"/>
      <c r="F95" s="4"/>
      <c r="G95" s="1"/>
      <c r="H95"/>
      <c r="I95"/>
      <c r="J95"/>
      <c r="K95"/>
      <c r="L95"/>
      <c r="M95"/>
      <c r="N95"/>
      <c r="O95"/>
      <c r="P95"/>
      <c r="Q95"/>
      <c r="R95"/>
      <c r="S95"/>
      <c r="T95"/>
      <c r="U95"/>
      <c r="V95"/>
    </row>
    <row r="96" spans="1:22" x14ac:dyDescent="0.25">
      <c r="A96"/>
      <c r="B96"/>
      <c r="C96"/>
      <c r="D96"/>
      <c r="E96"/>
      <c r="F96" s="4"/>
      <c r="G96" s="1"/>
      <c r="H96"/>
      <c r="I96"/>
      <c r="J96"/>
      <c r="K96"/>
      <c r="L96"/>
      <c r="M96"/>
      <c r="N96"/>
      <c r="O96"/>
      <c r="P96"/>
      <c r="Q96"/>
      <c r="R96"/>
      <c r="S96"/>
      <c r="T96"/>
      <c r="U96"/>
      <c r="V96"/>
    </row>
    <row r="97" spans="1:22" x14ac:dyDescent="0.25">
      <c r="A97"/>
      <c r="B97"/>
      <c r="C97"/>
      <c r="D97"/>
      <c r="E97"/>
      <c r="F97" s="4"/>
      <c r="G97" s="1"/>
      <c r="H97"/>
      <c r="I97"/>
      <c r="J97"/>
      <c r="K97"/>
      <c r="L97"/>
      <c r="M97"/>
      <c r="N97"/>
      <c r="O97"/>
      <c r="P97"/>
      <c r="Q97"/>
      <c r="R97"/>
      <c r="S97"/>
      <c r="T97"/>
      <c r="U97"/>
      <c r="V97"/>
    </row>
    <row r="98" spans="1:22" x14ac:dyDescent="0.25">
      <c r="A98"/>
      <c r="B98"/>
      <c r="C98"/>
      <c r="D98"/>
      <c r="E98"/>
      <c r="F98" s="4"/>
      <c r="G98" s="1"/>
      <c r="H98"/>
      <c r="I98"/>
      <c r="J98"/>
      <c r="K98"/>
      <c r="L98"/>
      <c r="M98"/>
      <c r="N98"/>
      <c r="O98"/>
      <c r="P98"/>
      <c r="Q98"/>
      <c r="R98"/>
      <c r="S98"/>
      <c r="T98"/>
      <c r="U98"/>
      <c r="V98"/>
    </row>
    <row r="99" spans="1:22" x14ac:dyDescent="0.25">
      <c r="A99"/>
      <c r="B99"/>
      <c r="C99"/>
      <c r="D99"/>
      <c r="E99"/>
      <c r="F99" s="4"/>
      <c r="G99" s="1"/>
      <c r="H99"/>
      <c r="I99"/>
      <c r="J99"/>
      <c r="K99"/>
      <c r="L99"/>
      <c r="M99"/>
      <c r="N99"/>
      <c r="O99"/>
      <c r="P99"/>
      <c r="Q99"/>
      <c r="R99"/>
      <c r="S99"/>
      <c r="T99"/>
      <c r="U99"/>
      <c r="V99"/>
    </row>
    <row r="100" spans="1:22" x14ac:dyDescent="0.25">
      <c r="A100"/>
      <c r="B100"/>
      <c r="C100"/>
      <c r="D100"/>
      <c r="E100"/>
      <c r="F100" s="4"/>
      <c r="G100" s="1"/>
      <c r="H100"/>
      <c r="I100"/>
      <c r="J100"/>
      <c r="K100"/>
      <c r="L100"/>
      <c r="M100"/>
      <c r="N100"/>
      <c r="O100"/>
      <c r="P100"/>
      <c r="Q100"/>
      <c r="R100"/>
      <c r="S100"/>
      <c r="T100"/>
      <c r="U100"/>
      <c r="V100"/>
    </row>
    <row r="101" spans="1:22" x14ac:dyDescent="0.25">
      <c r="A101"/>
      <c r="B101"/>
      <c r="C101"/>
      <c r="D101"/>
      <c r="E101"/>
      <c r="F101" s="4"/>
      <c r="G101" s="1"/>
      <c r="H101"/>
      <c r="I101"/>
      <c r="J101"/>
      <c r="K101"/>
      <c r="L101"/>
      <c r="M101"/>
      <c r="N101"/>
      <c r="O101"/>
      <c r="P101"/>
      <c r="Q101"/>
      <c r="R101"/>
      <c r="S101"/>
      <c r="T101"/>
      <c r="U101"/>
      <c r="V101"/>
    </row>
    <row r="102" spans="1:22" x14ac:dyDescent="0.25">
      <c r="A102"/>
      <c r="B102"/>
      <c r="C102"/>
      <c r="D102"/>
      <c r="E102"/>
      <c r="F102" s="4"/>
      <c r="G102" s="1"/>
      <c r="H102"/>
      <c r="I102"/>
      <c r="J102"/>
      <c r="K102"/>
      <c r="L102"/>
      <c r="M102"/>
      <c r="N102"/>
      <c r="O102"/>
      <c r="P102"/>
      <c r="Q102"/>
      <c r="R102"/>
      <c r="S102"/>
      <c r="T102"/>
      <c r="U102"/>
      <c r="V102"/>
    </row>
    <row r="103" spans="1:22" x14ac:dyDescent="0.25">
      <c r="A103"/>
      <c r="B103"/>
      <c r="C103"/>
      <c r="D103"/>
      <c r="E103"/>
      <c r="F103" s="4"/>
      <c r="G103" s="1"/>
      <c r="H103"/>
      <c r="I103"/>
      <c r="J103"/>
      <c r="K103"/>
      <c r="L103"/>
      <c r="M103"/>
      <c r="N103"/>
      <c r="O103"/>
      <c r="P103"/>
      <c r="Q103"/>
      <c r="R103"/>
      <c r="S103"/>
      <c r="T103"/>
      <c r="U103"/>
      <c r="V103"/>
    </row>
    <row r="104" spans="1:22" x14ac:dyDescent="0.25">
      <c r="A104"/>
      <c r="B104"/>
      <c r="C104"/>
      <c r="D104"/>
      <c r="E104"/>
      <c r="F104" s="4"/>
      <c r="G104" s="1"/>
      <c r="H104"/>
      <c r="I104"/>
      <c r="J104"/>
      <c r="K104"/>
      <c r="L104"/>
      <c r="M104"/>
      <c r="N104"/>
      <c r="O104"/>
      <c r="P104"/>
      <c r="Q104"/>
      <c r="R104"/>
      <c r="S104"/>
      <c r="T104"/>
      <c r="U104"/>
      <c r="V104"/>
    </row>
    <row r="105" spans="1:22" x14ac:dyDescent="0.25">
      <c r="A105"/>
      <c r="B105"/>
      <c r="C105"/>
      <c r="D105"/>
      <c r="E105"/>
      <c r="F105" s="4"/>
      <c r="G105" s="1"/>
      <c r="H105"/>
      <c r="I105"/>
      <c r="J105"/>
      <c r="K105"/>
      <c r="L105"/>
      <c r="M105"/>
      <c r="N105"/>
      <c r="O105"/>
      <c r="P105"/>
      <c r="Q105"/>
      <c r="R105"/>
      <c r="S105"/>
      <c r="T105"/>
      <c r="U105"/>
      <c r="V105"/>
    </row>
    <row r="106" spans="1:22" x14ac:dyDescent="0.25">
      <c r="A106"/>
      <c r="B106"/>
      <c r="C106"/>
      <c r="D106"/>
      <c r="E106"/>
      <c r="F106" s="4"/>
      <c r="G106" s="1"/>
      <c r="H106"/>
      <c r="I106"/>
      <c r="J106"/>
      <c r="K106"/>
      <c r="L106"/>
      <c r="M106"/>
      <c r="N106"/>
      <c r="O106"/>
      <c r="P106"/>
      <c r="Q106"/>
      <c r="R106"/>
      <c r="S106"/>
      <c r="T106"/>
      <c r="U106"/>
      <c r="V106"/>
    </row>
    <row r="107" spans="1:22" x14ac:dyDescent="0.25">
      <c r="A107"/>
      <c r="B107"/>
      <c r="C107"/>
      <c r="D107"/>
      <c r="E107"/>
      <c r="F107" s="4"/>
      <c r="G107" s="1"/>
      <c r="H107"/>
      <c r="I107"/>
      <c r="J107"/>
      <c r="K107"/>
      <c r="L107"/>
      <c r="M107"/>
      <c r="N107"/>
      <c r="O107"/>
      <c r="P107"/>
      <c r="Q107"/>
      <c r="R107"/>
      <c r="S107"/>
      <c r="T107"/>
      <c r="U107"/>
      <c r="V107"/>
    </row>
    <row r="108" spans="1:22" x14ac:dyDescent="0.25">
      <c r="A108"/>
      <c r="B108"/>
      <c r="C108"/>
      <c r="D108"/>
      <c r="E108"/>
      <c r="F108" s="4"/>
      <c r="G108" s="1"/>
      <c r="H108"/>
      <c r="I108"/>
      <c r="J108"/>
      <c r="K108"/>
      <c r="L108"/>
      <c r="M108"/>
      <c r="N108"/>
      <c r="O108"/>
      <c r="P108"/>
      <c r="Q108"/>
      <c r="R108"/>
      <c r="S108"/>
      <c r="T108"/>
      <c r="U108"/>
      <c r="V108"/>
    </row>
    <row r="109" spans="1:22" x14ac:dyDescent="0.25">
      <c r="A109"/>
      <c r="B109"/>
      <c r="C109"/>
      <c r="D109"/>
      <c r="E109"/>
      <c r="F109" s="4"/>
      <c r="G109" s="1"/>
      <c r="H109"/>
      <c r="I109"/>
      <c r="J109"/>
      <c r="K109"/>
      <c r="L109"/>
      <c r="M109"/>
      <c r="N109"/>
      <c r="O109"/>
      <c r="P109"/>
      <c r="Q109"/>
      <c r="R109"/>
      <c r="S109"/>
      <c r="T109"/>
      <c r="U109"/>
      <c r="V109"/>
    </row>
    <row r="110" spans="1:22" x14ac:dyDescent="0.25">
      <c r="A110"/>
      <c r="B110"/>
      <c r="C110"/>
      <c r="D110"/>
      <c r="E110"/>
      <c r="F110" s="4"/>
      <c r="G110" s="1"/>
      <c r="H110"/>
      <c r="I110"/>
      <c r="J110"/>
      <c r="K110"/>
      <c r="L110"/>
      <c r="M110"/>
      <c r="N110"/>
      <c r="O110"/>
      <c r="P110"/>
      <c r="Q110"/>
      <c r="R110"/>
      <c r="S110"/>
      <c r="T110"/>
      <c r="U110"/>
      <c r="V110"/>
    </row>
    <row r="111" spans="1:22" x14ac:dyDescent="0.25">
      <c r="A111"/>
      <c r="B111"/>
      <c r="C111"/>
      <c r="D111"/>
      <c r="E111"/>
      <c r="F111" s="4"/>
      <c r="G111" s="1"/>
      <c r="H111"/>
      <c r="I111"/>
      <c r="J111"/>
      <c r="K111"/>
      <c r="L111"/>
      <c r="M111"/>
      <c r="N111"/>
      <c r="O111"/>
      <c r="P111"/>
      <c r="Q111"/>
      <c r="R111"/>
      <c r="S111"/>
      <c r="T111"/>
      <c r="U111"/>
      <c r="V111"/>
    </row>
    <row r="112" spans="1:22" x14ac:dyDescent="0.25">
      <c r="A112"/>
      <c r="B112"/>
      <c r="C112"/>
      <c r="D112"/>
      <c r="E112"/>
      <c r="F112" s="4"/>
      <c r="G112" s="1"/>
      <c r="H112"/>
      <c r="I112"/>
      <c r="J112"/>
      <c r="K112"/>
      <c r="L112"/>
      <c r="M112"/>
      <c r="N112"/>
      <c r="O112"/>
      <c r="P112"/>
      <c r="Q112"/>
      <c r="R112"/>
      <c r="S112"/>
      <c r="T112"/>
      <c r="U112"/>
      <c r="V112"/>
    </row>
    <row r="113" spans="1:22" x14ac:dyDescent="0.25">
      <c r="A113"/>
      <c r="B113"/>
      <c r="C113"/>
      <c r="D113"/>
      <c r="E113"/>
      <c r="F113" s="4"/>
      <c r="G113" s="1"/>
      <c r="H113"/>
      <c r="I113"/>
      <c r="J113"/>
      <c r="K113"/>
      <c r="L113"/>
      <c r="M113"/>
      <c r="N113"/>
      <c r="O113"/>
      <c r="P113"/>
      <c r="Q113"/>
      <c r="R113"/>
      <c r="S113"/>
      <c r="T113"/>
      <c r="U113"/>
      <c r="V113"/>
    </row>
    <row r="114" spans="1:22" x14ac:dyDescent="0.25">
      <c r="A114"/>
      <c r="B114"/>
      <c r="C114"/>
      <c r="D114"/>
      <c r="E114"/>
      <c r="F114" s="4"/>
      <c r="G114" s="1"/>
      <c r="H114"/>
      <c r="I114"/>
      <c r="J114"/>
      <c r="K114"/>
      <c r="L114"/>
      <c r="M114"/>
      <c r="N114"/>
      <c r="O114"/>
      <c r="P114"/>
      <c r="Q114"/>
      <c r="R114"/>
      <c r="S114"/>
      <c r="T114"/>
      <c r="U114"/>
      <c r="V114"/>
    </row>
    <row r="115" spans="1:22" x14ac:dyDescent="0.25">
      <c r="A115"/>
      <c r="B115"/>
      <c r="C115"/>
      <c r="D115"/>
      <c r="E115"/>
      <c r="F115" s="4"/>
      <c r="G115" s="1"/>
      <c r="H115"/>
      <c r="I115"/>
      <c r="J115"/>
      <c r="K115"/>
      <c r="L115"/>
      <c r="M115"/>
      <c r="N115"/>
      <c r="O115"/>
      <c r="P115"/>
      <c r="Q115"/>
      <c r="R115"/>
      <c r="S115"/>
      <c r="T115"/>
      <c r="U115"/>
      <c r="V115"/>
    </row>
    <row r="116" spans="1:22" x14ac:dyDescent="0.25">
      <c r="A116"/>
      <c r="B116"/>
      <c r="C116"/>
      <c r="D116"/>
      <c r="E116"/>
      <c r="F116" s="4"/>
      <c r="G116" s="1"/>
      <c r="H116"/>
      <c r="I116"/>
      <c r="J116"/>
      <c r="K116"/>
      <c r="L116"/>
      <c r="M116"/>
      <c r="N116"/>
      <c r="O116"/>
      <c r="P116"/>
      <c r="Q116"/>
      <c r="R116"/>
      <c r="S116"/>
      <c r="T116"/>
      <c r="U116"/>
      <c r="V116"/>
    </row>
    <row r="117" spans="1:22" x14ac:dyDescent="0.25">
      <c r="A117"/>
      <c r="B117"/>
      <c r="C117"/>
      <c r="D117"/>
      <c r="E117"/>
      <c r="F117" s="4"/>
      <c r="G117" s="1"/>
      <c r="H117"/>
      <c r="I117"/>
      <c r="J117"/>
      <c r="K117"/>
      <c r="L117"/>
      <c r="M117"/>
      <c r="N117"/>
      <c r="O117"/>
      <c r="P117"/>
      <c r="Q117"/>
      <c r="R117"/>
      <c r="S117"/>
      <c r="T117"/>
      <c r="U117"/>
      <c r="V117"/>
    </row>
    <row r="118" spans="1:22" x14ac:dyDescent="0.25">
      <c r="A118"/>
      <c r="B118"/>
      <c r="C118"/>
      <c r="D118"/>
      <c r="E118"/>
      <c r="F118" s="4"/>
      <c r="G118" s="1"/>
      <c r="H118"/>
      <c r="I118"/>
      <c r="J118"/>
      <c r="K118"/>
      <c r="L118"/>
      <c r="M118"/>
      <c r="N118"/>
      <c r="O118"/>
      <c r="P118"/>
      <c r="Q118"/>
      <c r="R118"/>
      <c r="S118"/>
      <c r="T118"/>
      <c r="U118"/>
      <c r="V118"/>
    </row>
    <row r="119" spans="1:22" x14ac:dyDescent="0.25">
      <c r="A119"/>
      <c r="B119"/>
      <c r="C119"/>
      <c r="D119"/>
      <c r="E119"/>
      <c r="F119" s="4"/>
      <c r="G119" s="1"/>
      <c r="H119"/>
      <c r="I119"/>
      <c r="J119"/>
      <c r="K119"/>
      <c r="L119"/>
      <c r="M119"/>
      <c r="N119"/>
      <c r="O119"/>
      <c r="P119"/>
      <c r="Q119"/>
      <c r="R119"/>
      <c r="S119"/>
      <c r="T119"/>
      <c r="U119"/>
      <c r="V119"/>
    </row>
    <row r="120" spans="1:22" x14ac:dyDescent="0.25">
      <c r="A120"/>
      <c r="B120"/>
      <c r="C120"/>
      <c r="D120"/>
      <c r="E120"/>
      <c r="F120" s="4"/>
      <c r="G120" s="1"/>
      <c r="H120"/>
      <c r="I120"/>
      <c r="J120"/>
      <c r="K120"/>
      <c r="L120"/>
      <c r="M120"/>
      <c r="N120"/>
      <c r="O120"/>
      <c r="P120"/>
      <c r="Q120"/>
      <c r="R120"/>
      <c r="S120"/>
      <c r="T120"/>
      <c r="U120"/>
      <c r="V120"/>
    </row>
    <row r="121" spans="1:22" x14ac:dyDescent="0.25">
      <c r="A121"/>
      <c r="B121"/>
      <c r="C121"/>
      <c r="D121"/>
      <c r="E121"/>
      <c r="F121" s="4"/>
      <c r="G121" s="1"/>
      <c r="H121"/>
      <c r="I121"/>
      <c r="J121"/>
      <c r="K121"/>
      <c r="L121"/>
      <c r="M121"/>
      <c r="N121"/>
      <c r="O121"/>
      <c r="P121"/>
      <c r="Q121"/>
      <c r="R121"/>
      <c r="S121"/>
      <c r="T121"/>
      <c r="U121"/>
      <c r="V121"/>
    </row>
    <row r="122" spans="1:22" x14ac:dyDescent="0.25">
      <c r="A122"/>
      <c r="B122"/>
      <c r="C122"/>
      <c r="D122"/>
      <c r="E122"/>
      <c r="F122" s="4"/>
      <c r="G122" s="1"/>
      <c r="H122"/>
      <c r="I122"/>
      <c r="J122"/>
      <c r="K122"/>
      <c r="L122"/>
      <c r="M122"/>
      <c r="N122"/>
      <c r="O122"/>
      <c r="P122"/>
      <c r="Q122"/>
      <c r="R122"/>
      <c r="S122"/>
      <c r="T122"/>
      <c r="U122"/>
      <c r="V122"/>
    </row>
    <row r="123" spans="1:22" x14ac:dyDescent="0.25">
      <c r="A123"/>
      <c r="B123"/>
      <c r="C123"/>
      <c r="D123"/>
      <c r="E123"/>
      <c r="F123" s="4"/>
      <c r="G123" s="1"/>
      <c r="H123"/>
      <c r="I123"/>
      <c r="J123"/>
      <c r="K123"/>
      <c r="L123"/>
      <c r="M123"/>
      <c r="N123"/>
      <c r="O123"/>
      <c r="P123"/>
      <c r="Q123"/>
      <c r="R123"/>
      <c r="S123"/>
      <c r="T123"/>
      <c r="U123"/>
      <c r="V123"/>
    </row>
    <row r="124" spans="1:22" x14ac:dyDescent="0.25">
      <c r="A124"/>
      <c r="B124"/>
      <c r="C124"/>
      <c r="D124"/>
      <c r="E124"/>
      <c r="F124" s="4"/>
      <c r="G124" s="1"/>
      <c r="H124"/>
      <c r="I124"/>
      <c r="J124"/>
      <c r="K124"/>
      <c r="L124"/>
      <c r="M124"/>
      <c r="N124"/>
      <c r="O124"/>
      <c r="P124"/>
      <c r="Q124"/>
      <c r="R124"/>
      <c r="S124"/>
      <c r="T124"/>
      <c r="U124"/>
      <c r="V124"/>
    </row>
    <row r="125" spans="1:22" x14ac:dyDescent="0.25">
      <c r="A125"/>
      <c r="B125"/>
      <c r="C125"/>
      <c r="D125"/>
      <c r="E125"/>
      <c r="F125" s="4"/>
      <c r="G125" s="1"/>
      <c r="H125"/>
      <c r="I125"/>
      <c r="J125"/>
      <c r="K125"/>
      <c r="L125"/>
      <c r="M125"/>
      <c r="N125"/>
      <c r="O125"/>
      <c r="P125"/>
      <c r="Q125"/>
      <c r="R125"/>
      <c r="S125"/>
      <c r="T125"/>
      <c r="U125"/>
      <c r="V125"/>
    </row>
    <row r="126" spans="1:22" x14ac:dyDescent="0.25">
      <c r="A126"/>
      <c r="B126"/>
      <c r="C126"/>
      <c r="D126"/>
      <c r="E126"/>
      <c r="F126" s="4"/>
      <c r="G126" s="1"/>
      <c r="H126"/>
      <c r="I126"/>
      <c r="J126"/>
      <c r="K126"/>
      <c r="L126"/>
      <c r="M126"/>
      <c r="N126"/>
      <c r="O126"/>
      <c r="P126"/>
      <c r="Q126"/>
      <c r="R126"/>
      <c r="S126"/>
      <c r="T126"/>
      <c r="U126"/>
      <c r="V126"/>
    </row>
    <row r="127" spans="1:22" x14ac:dyDescent="0.25">
      <c r="A127"/>
      <c r="B127"/>
      <c r="C127"/>
      <c r="D127"/>
      <c r="E127"/>
      <c r="F127" s="4"/>
      <c r="G127" s="1"/>
      <c r="H127"/>
      <c r="I127"/>
      <c r="J127"/>
      <c r="K127"/>
      <c r="L127"/>
      <c r="M127"/>
      <c r="N127"/>
      <c r="O127"/>
      <c r="P127"/>
      <c r="Q127"/>
      <c r="R127"/>
      <c r="S127"/>
      <c r="T127"/>
      <c r="U127"/>
      <c r="V127"/>
    </row>
    <row r="128" spans="1:22" x14ac:dyDescent="0.25">
      <c r="A128"/>
      <c r="B128"/>
      <c r="C128"/>
      <c r="D128"/>
      <c r="E128"/>
      <c r="F128" s="4"/>
      <c r="G128" s="1"/>
      <c r="H128"/>
      <c r="I128"/>
      <c r="J128"/>
      <c r="K128"/>
      <c r="L128"/>
      <c r="M128"/>
      <c r="N128"/>
      <c r="O128"/>
      <c r="P128"/>
      <c r="Q128"/>
      <c r="R128"/>
      <c r="S128"/>
      <c r="T128"/>
      <c r="U128"/>
      <c r="V128"/>
    </row>
    <row r="129" spans="1:22" x14ac:dyDescent="0.25">
      <c r="A129"/>
      <c r="B129"/>
      <c r="C129"/>
      <c r="D129"/>
      <c r="E129"/>
      <c r="F129" s="4"/>
      <c r="G129" s="1"/>
      <c r="H129"/>
      <c r="I129"/>
      <c r="J129"/>
      <c r="K129"/>
      <c r="L129"/>
      <c r="M129"/>
      <c r="N129"/>
      <c r="O129"/>
      <c r="P129"/>
      <c r="Q129"/>
      <c r="R129"/>
      <c r="S129"/>
      <c r="T129"/>
      <c r="U129"/>
      <c r="V129"/>
    </row>
    <row r="130" spans="1:22" x14ac:dyDescent="0.25">
      <c r="A130"/>
      <c r="B130"/>
      <c r="C130"/>
      <c r="D130"/>
      <c r="E130"/>
      <c r="F130" s="4"/>
      <c r="G130" s="1"/>
      <c r="H130"/>
      <c r="I130"/>
      <c r="J130"/>
      <c r="K130"/>
      <c r="L130"/>
      <c r="M130"/>
      <c r="N130"/>
      <c r="O130"/>
      <c r="P130"/>
      <c r="Q130"/>
      <c r="R130"/>
      <c r="S130"/>
      <c r="T130"/>
      <c r="U130"/>
      <c r="V130"/>
    </row>
    <row r="131" spans="1:22" x14ac:dyDescent="0.25">
      <c r="A131"/>
      <c r="B131"/>
      <c r="C131"/>
      <c r="D131"/>
      <c r="E131"/>
      <c r="F131" s="4"/>
      <c r="G131" s="1"/>
      <c r="H131"/>
      <c r="I131"/>
      <c r="J131"/>
      <c r="K131"/>
      <c r="L131"/>
      <c r="M131"/>
      <c r="N131"/>
      <c r="O131"/>
      <c r="P131"/>
      <c r="Q131"/>
      <c r="R131"/>
      <c r="S131"/>
      <c r="T131"/>
      <c r="U131"/>
      <c r="V131"/>
    </row>
    <row r="132" spans="1:22" x14ac:dyDescent="0.25">
      <c r="A132"/>
      <c r="B132"/>
      <c r="C132"/>
      <c r="D132"/>
      <c r="E132"/>
      <c r="F132" s="4"/>
      <c r="G132" s="1"/>
      <c r="H132"/>
      <c r="I132"/>
      <c r="J132"/>
      <c r="K132"/>
      <c r="L132"/>
      <c r="M132"/>
      <c r="N132"/>
      <c r="O132"/>
      <c r="P132"/>
      <c r="Q132"/>
      <c r="R132"/>
      <c r="S132"/>
      <c r="T132"/>
      <c r="U132"/>
      <c r="V132"/>
    </row>
    <row r="133" spans="1:22" x14ac:dyDescent="0.25">
      <c r="A133"/>
      <c r="B133"/>
      <c r="C133"/>
      <c r="D133"/>
      <c r="E133"/>
      <c r="F133" s="4"/>
      <c r="G133" s="1"/>
      <c r="H133"/>
      <c r="I133"/>
      <c r="J133"/>
      <c r="K133"/>
      <c r="L133"/>
      <c r="M133"/>
      <c r="N133"/>
      <c r="O133"/>
      <c r="P133"/>
      <c r="Q133"/>
      <c r="R133"/>
      <c r="S133"/>
      <c r="T133"/>
      <c r="U133"/>
      <c r="V133"/>
    </row>
    <row r="134" spans="1:22" x14ac:dyDescent="0.25">
      <c r="A134"/>
      <c r="B134"/>
      <c r="C134"/>
      <c r="D134"/>
      <c r="E134"/>
      <c r="F134" s="4"/>
      <c r="G134" s="1"/>
      <c r="H134"/>
      <c r="I134"/>
      <c r="J134"/>
      <c r="K134"/>
      <c r="L134"/>
      <c r="M134"/>
      <c r="N134"/>
      <c r="O134"/>
      <c r="P134"/>
      <c r="Q134"/>
      <c r="R134"/>
      <c r="S134"/>
      <c r="T134"/>
      <c r="U134"/>
      <c r="V134"/>
    </row>
    <row r="135" spans="1:22" x14ac:dyDescent="0.25">
      <c r="A135"/>
      <c r="B135"/>
      <c r="C135"/>
      <c r="D135"/>
      <c r="E135"/>
      <c r="F135" s="4"/>
      <c r="G135" s="1"/>
      <c r="H135"/>
      <c r="I135"/>
      <c r="J135"/>
      <c r="K135"/>
      <c r="L135"/>
      <c r="M135"/>
      <c r="N135"/>
      <c r="O135"/>
      <c r="P135"/>
      <c r="Q135"/>
      <c r="R135"/>
      <c r="S135"/>
      <c r="T135"/>
      <c r="U135"/>
      <c r="V135"/>
    </row>
    <row r="136" spans="1:22" x14ac:dyDescent="0.25">
      <c r="A136"/>
      <c r="B136"/>
      <c r="C136"/>
      <c r="D136"/>
      <c r="E136"/>
      <c r="F136" s="4"/>
      <c r="G136" s="1"/>
      <c r="H136"/>
      <c r="I136"/>
      <c r="J136"/>
      <c r="K136"/>
      <c r="L136"/>
      <c r="M136"/>
      <c r="N136"/>
      <c r="O136"/>
      <c r="P136"/>
      <c r="Q136"/>
      <c r="R136"/>
      <c r="S136"/>
      <c r="T136"/>
      <c r="U136"/>
      <c r="V136"/>
    </row>
    <row r="137" spans="1:22" x14ac:dyDescent="0.25">
      <c r="A137"/>
      <c r="B137"/>
      <c r="C137"/>
      <c r="D137"/>
      <c r="E137"/>
      <c r="F137" s="4"/>
      <c r="G137" s="1"/>
      <c r="H137"/>
      <c r="I137"/>
      <c r="J137"/>
      <c r="K137"/>
      <c r="L137"/>
      <c r="M137"/>
      <c r="N137"/>
      <c r="O137"/>
      <c r="P137"/>
      <c r="Q137"/>
      <c r="R137"/>
      <c r="S137"/>
      <c r="T137"/>
      <c r="U137"/>
      <c r="V137"/>
    </row>
    <row r="138" spans="1:22" x14ac:dyDescent="0.25">
      <c r="A138"/>
      <c r="B138"/>
      <c r="C138"/>
      <c r="D138"/>
      <c r="E138"/>
      <c r="F138" s="4"/>
      <c r="G138" s="1"/>
      <c r="H138"/>
      <c r="I138"/>
      <c r="J138"/>
      <c r="K138"/>
      <c r="L138"/>
      <c r="M138"/>
      <c r="N138"/>
      <c r="O138"/>
      <c r="P138"/>
      <c r="Q138"/>
      <c r="R138"/>
      <c r="S138"/>
      <c r="T138"/>
      <c r="U138"/>
      <c r="V138"/>
    </row>
    <row r="139" spans="1:22" x14ac:dyDescent="0.25">
      <c r="A139"/>
      <c r="B139"/>
      <c r="C139"/>
      <c r="D139"/>
      <c r="E139"/>
      <c r="F139" s="4"/>
      <c r="G139" s="1"/>
      <c r="H139"/>
      <c r="I139"/>
      <c r="J139"/>
      <c r="K139"/>
      <c r="L139"/>
      <c r="M139"/>
      <c r="N139"/>
      <c r="O139"/>
      <c r="P139"/>
      <c r="Q139"/>
      <c r="R139"/>
      <c r="S139"/>
      <c r="T139"/>
      <c r="U139"/>
      <c r="V139"/>
    </row>
    <row r="140" spans="1:22" x14ac:dyDescent="0.25">
      <c r="A140"/>
      <c r="B140"/>
      <c r="C140"/>
      <c r="D140"/>
      <c r="E140"/>
      <c r="F140" s="4"/>
      <c r="G140" s="1"/>
      <c r="H140"/>
      <c r="I140"/>
      <c r="J140"/>
      <c r="K140"/>
      <c r="L140"/>
      <c r="M140"/>
      <c r="N140"/>
      <c r="O140"/>
      <c r="P140"/>
      <c r="Q140"/>
      <c r="R140"/>
      <c r="S140"/>
      <c r="T140"/>
      <c r="U140"/>
      <c r="V140"/>
    </row>
    <row r="141" spans="1:22" x14ac:dyDescent="0.25">
      <c r="A141"/>
      <c r="B141"/>
      <c r="C141"/>
      <c r="D141"/>
      <c r="E141"/>
      <c r="F141" s="4"/>
      <c r="G141" s="1"/>
      <c r="H141"/>
      <c r="I141"/>
      <c r="J141"/>
      <c r="K141"/>
      <c r="L141"/>
      <c r="M141"/>
      <c r="N141"/>
      <c r="O141"/>
      <c r="P141"/>
      <c r="Q141"/>
      <c r="R141"/>
      <c r="S141"/>
      <c r="T141"/>
      <c r="U141"/>
      <c r="V141"/>
    </row>
    <row r="142" spans="1:22" x14ac:dyDescent="0.25">
      <c r="A142"/>
      <c r="B142"/>
      <c r="C142"/>
      <c r="D142"/>
      <c r="E142"/>
      <c r="F142" s="4"/>
      <c r="G142" s="1"/>
      <c r="H142"/>
      <c r="I142"/>
      <c r="J142"/>
      <c r="K142"/>
      <c r="L142"/>
      <c r="M142"/>
      <c r="N142"/>
      <c r="O142"/>
      <c r="P142"/>
      <c r="Q142"/>
      <c r="R142"/>
      <c r="S142"/>
      <c r="T142"/>
      <c r="U142"/>
      <c r="V142"/>
    </row>
    <row r="143" spans="1:22" x14ac:dyDescent="0.25">
      <c r="A143"/>
      <c r="B143"/>
      <c r="C143"/>
      <c r="D143"/>
      <c r="E143"/>
      <c r="F143" s="4"/>
      <c r="G143" s="1"/>
      <c r="H143"/>
      <c r="I143"/>
      <c r="J143"/>
      <c r="K143"/>
      <c r="L143"/>
      <c r="M143"/>
      <c r="N143"/>
      <c r="O143"/>
      <c r="P143"/>
      <c r="Q143"/>
      <c r="R143"/>
      <c r="S143"/>
      <c r="T143"/>
      <c r="U143"/>
      <c r="V143"/>
    </row>
    <row r="144" spans="1:22" x14ac:dyDescent="0.25">
      <c r="A144"/>
      <c r="B144"/>
      <c r="C144"/>
      <c r="D144"/>
      <c r="E144"/>
      <c r="F144" s="4"/>
      <c r="G144" s="1"/>
      <c r="H144"/>
      <c r="I144"/>
      <c r="J144"/>
      <c r="K144"/>
      <c r="L144"/>
      <c r="M144"/>
      <c r="N144"/>
      <c r="O144"/>
      <c r="P144"/>
      <c r="Q144"/>
      <c r="R144"/>
      <c r="S144"/>
      <c r="T144"/>
      <c r="U144"/>
      <c r="V144"/>
    </row>
    <row r="145" spans="1:22" x14ac:dyDescent="0.25">
      <c r="A145"/>
      <c r="B145"/>
      <c r="C145"/>
      <c r="D145"/>
      <c r="E145"/>
      <c r="F145" s="4"/>
      <c r="G145" s="1"/>
      <c r="H145"/>
      <c r="I145"/>
      <c r="J145"/>
      <c r="K145"/>
      <c r="L145"/>
      <c r="M145"/>
      <c r="N145"/>
      <c r="O145"/>
      <c r="P145"/>
      <c r="Q145"/>
      <c r="R145"/>
      <c r="S145"/>
      <c r="T145"/>
      <c r="U145"/>
      <c r="V145"/>
    </row>
    <row r="146" spans="1:22" x14ac:dyDescent="0.25">
      <c r="A146"/>
      <c r="B146"/>
      <c r="C146"/>
      <c r="D146"/>
      <c r="E146"/>
      <c r="F146" s="4"/>
      <c r="G146" s="1"/>
      <c r="H146"/>
      <c r="I146"/>
      <c r="J146"/>
      <c r="K146"/>
      <c r="L146"/>
      <c r="M146"/>
      <c r="N146"/>
      <c r="O146"/>
      <c r="P146"/>
      <c r="Q146"/>
      <c r="R146"/>
      <c r="S146"/>
      <c r="T146"/>
      <c r="U146"/>
      <c r="V146"/>
    </row>
    <row r="147" spans="1:22" x14ac:dyDescent="0.25">
      <c r="A147"/>
      <c r="B147"/>
      <c r="C147"/>
      <c r="D147"/>
      <c r="E147"/>
      <c r="F147" s="4"/>
      <c r="G147" s="1"/>
      <c r="H147"/>
      <c r="I147"/>
      <c r="J147"/>
      <c r="K147"/>
      <c r="L147"/>
      <c r="M147"/>
      <c r="N147"/>
      <c r="O147"/>
      <c r="P147"/>
      <c r="Q147"/>
      <c r="R147"/>
      <c r="S147"/>
      <c r="T147"/>
      <c r="U147"/>
      <c r="V147"/>
    </row>
    <row r="148" spans="1:22" x14ac:dyDescent="0.25">
      <c r="A148"/>
      <c r="B148"/>
      <c r="C148"/>
      <c r="D148"/>
      <c r="E148"/>
      <c r="F148" s="4"/>
      <c r="G148" s="1"/>
      <c r="H148"/>
      <c r="I148"/>
      <c r="J148"/>
      <c r="K148"/>
      <c r="L148"/>
      <c r="M148"/>
      <c r="N148"/>
      <c r="O148"/>
      <c r="P148"/>
      <c r="Q148"/>
      <c r="R148"/>
      <c r="S148"/>
      <c r="T148"/>
      <c r="U148"/>
      <c r="V148"/>
    </row>
    <row r="149" spans="1:22" x14ac:dyDescent="0.25">
      <c r="A149"/>
      <c r="B149"/>
      <c r="C149"/>
      <c r="D149"/>
      <c r="E149"/>
      <c r="F149" s="4"/>
      <c r="G149" s="1"/>
      <c r="H149"/>
      <c r="I149"/>
      <c r="J149"/>
      <c r="K149"/>
      <c r="L149"/>
      <c r="M149"/>
      <c r="N149"/>
      <c r="O149"/>
      <c r="P149"/>
      <c r="Q149"/>
      <c r="R149"/>
      <c r="S149"/>
      <c r="T149"/>
      <c r="U149"/>
      <c r="V149"/>
    </row>
    <row r="150" spans="1:22" x14ac:dyDescent="0.25">
      <c r="A150"/>
      <c r="B150"/>
      <c r="C150"/>
      <c r="D150"/>
      <c r="E150"/>
      <c r="F150" s="4"/>
      <c r="G150" s="1"/>
      <c r="H150"/>
      <c r="I150"/>
      <c r="J150"/>
      <c r="K150"/>
      <c r="L150"/>
      <c r="M150"/>
      <c r="N150"/>
      <c r="O150"/>
      <c r="P150"/>
      <c r="Q150"/>
      <c r="R150"/>
      <c r="S150"/>
      <c r="T150"/>
      <c r="U150"/>
      <c r="V150"/>
    </row>
    <row r="151" spans="1:22" x14ac:dyDescent="0.25">
      <c r="A151"/>
      <c r="B151"/>
      <c r="C151"/>
      <c r="D151"/>
      <c r="E151"/>
      <c r="F151" s="4"/>
      <c r="G151" s="1"/>
      <c r="H151"/>
      <c r="I151"/>
      <c r="J151"/>
      <c r="K151"/>
      <c r="L151"/>
      <c r="M151"/>
      <c r="N151"/>
      <c r="O151"/>
      <c r="P151"/>
      <c r="Q151"/>
      <c r="R151"/>
      <c r="S151"/>
      <c r="T151"/>
      <c r="U151"/>
      <c r="V151"/>
    </row>
    <row r="152" spans="1:22" x14ac:dyDescent="0.25">
      <c r="A152"/>
      <c r="B152"/>
      <c r="C152"/>
      <c r="D152"/>
      <c r="E152"/>
      <c r="F152" s="4"/>
      <c r="G152" s="1"/>
      <c r="H152"/>
      <c r="I152"/>
      <c r="J152"/>
      <c r="K152"/>
      <c r="L152"/>
      <c r="M152"/>
      <c r="N152"/>
      <c r="O152"/>
      <c r="P152"/>
      <c r="Q152"/>
      <c r="R152"/>
      <c r="S152"/>
      <c r="T152"/>
      <c r="U152"/>
      <c r="V152"/>
    </row>
    <row r="153" spans="1:22" x14ac:dyDescent="0.25">
      <c r="A153"/>
      <c r="B153"/>
      <c r="C153"/>
      <c r="D153"/>
      <c r="E153"/>
      <c r="F153" s="4"/>
      <c r="G153" s="1"/>
      <c r="H153"/>
      <c r="I153"/>
      <c r="J153"/>
      <c r="K153"/>
      <c r="L153"/>
      <c r="M153"/>
      <c r="N153"/>
      <c r="O153"/>
      <c r="P153"/>
      <c r="Q153"/>
      <c r="R153"/>
      <c r="S153"/>
      <c r="T153"/>
      <c r="U153"/>
      <c r="V153"/>
    </row>
    <row r="154" spans="1:22" x14ac:dyDescent="0.25">
      <c r="A154"/>
      <c r="B154"/>
      <c r="C154"/>
      <c r="D154"/>
      <c r="E154"/>
      <c r="F154" s="4"/>
      <c r="G154" s="1"/>
      <c r="H154"/>
      <c r="I154"/>
      <c r="J154"/>
      <c r="K154"/>
      <c r="L154"/>
      <c r="M154"/>
      <c r="N154"/>
      <c r="O154"/>
      <c r="P154"/>
      <c r="Q154"/>
      <c r="R154"/>
      <c r="S154"/>
      <c r="T154"/>
      <c r="U154"/>
      <c r="V154"/>
    </row>
    <row r="155" spans="1:22" x14ac:dyDescent="0.25">
      <c r="A155"/>
      <c r="B155"/>
      <c r="C155"/>
      <c r="D155"/>
      <c r="E155"/>
      <c r="F155" s="4"/>
      <c r="G155" s="1"/>
      <c r="H155"/>
      <c r="I155"/>
      <c r="J155"/>
      <c r="K155"/>
      <c r="L155"/>
      <c r="M155"/>
      <c r="N155"/>
      <c r="O155"/>
      <c r="P155"/>
      <c r="Q155"/>
      <c r="R155"/>
      <c r="S155"/>
      <c r="T155"/>
      <c r="U155"/>
      <c r="V155"/>
    </row>
    <row r="156" spans="1:22" x14ac:dyDescent="0.25">
      <c r="A156"/>
      <c r="B156"/>
      <c r="C156"/>
      <c r="D156"/>
      <c r="E156"/>
      <c r="F156" s="4"/>
      <c r="G156" s="1"/>
      <c r="H156"/>
      <c r="I156"/>
      <c r="J156"/>
      <c r="K156"/>
      <c r="L156"/>
      <c r="M156"/>
      <c r="N156"/>
      <c r="O156"/>
      <c r="P156"/>
      <c r="Q156"/>
      <c r="R156"/>
      <c r="S156"/>
      <c r="T156"/>
      <c r="U156"/>
      <c r="V156"/>
    </row>
    <row r="157" spans="1:22" x14ac:dyDescent="0.25">
      <c r="A157"/>
      <c r="B157"/>
      <c r="C157"/>
      <c r="D157"/>
      <c r="E157"/>
      <c r="F157" s="4"/>
      <c r="G157" s="1"/>
      <c r="H157"/>
      <c r="I157"/>
      <c r="J157"/>
      <c r="K157"/>
      <c r="L157"/>
      <c r="M157"/>
      <c r="N157"/>
      <c r="O157"/>
      <c r="P157"/>
      <c r="Q157"/>
      <c r="R157"/>
      <c r="S157"/>
      <c r="T157"/>
      <c r="U157"/>
      <c r="V157"/>
    </row>
    <row r="158" spans="1:22" x14ac:dyDescent="0.25">
      <c r="A158"/>
      <c r="B158"/>
      <c r="C158"/>
      <c r="D158"/>
      <c r="E158"/>
      <c r="F158" s="4"/>
      <c r="G158" s="1"/>
      <c r="H158"/>
      <c r="I158"/>
      <c r="J158"/>
      <c r="K158"/>
      <c r="L158"/>
      <c r="M158"/>
      <c r="N158"/>
      <c r="O158"/>
      <c r="P158"/>
      <c r="Q158"/>
      <c r="R158"/>
      <c r="S158"/>
      <c r="T158"/>
      <c r="U158"/>
      <c r="V158"/>
    </row>
    <row r="159" spans="1:22" x14ac:dyDescent="0.25">
      <c r="A159"/>
      <c r="B159"/>
      <c r="C159"/>
      <c r="D159"/>
      <c r="E159"/>
      <c r="F159" s="4"/>
      <c r="G159" s="1"/>
      <c r="H159"/>
      <c r="I159"/>
      <c r="J159"/>
      <c r="K159"/>
      <c r="L159"/>
      <c r="M159"/>
      <c r="N159"/>
      <c r="O159"/>
      <c r="P159"/>
      <c r="Q159"/>
      <c r="R159"/>
      <c r="S159"/>
      <c r="T159"/>
      <c r="U159"/>
      <c r="V159"/>
    </row>
    <row r="160" spans="1:22" x14ac:dyDescent="0.25">
      <c r="A160"/>
      <c r="B160"/>
      <c r="C160"/>
      <c r="D160"/>
      <c r="E160"/>
      <c r="F160" s="4"/>
      <c r="G160" s="1"/>
      <c r="H160"/>
      <c r="I160"/>
      <c r="J160"/>
      <c r="K160"/>
      <c r="L160"/>
      <c r="M160"/>
      <c r="N160"/>
      <c r="O160"/>
      <c r="P160"/>
      <c r="Q160"/>
      <c r="R160"/>
      <c r="S160"/>
      <c r="T160"/>
      <c r="U160"/>
      <c r="V160"/>
    </row>
    <row r="161" spans="1:22" x14ac:dyDescent="0.25">
      <c r="A161"/>
      <c r="B161"/>
      <c r="C161"/>
      <c r="D161"/>
      <c r="E161"/>
      <c r="F161" s="4"/>
      <c r="G161" s="1"/>
      <c r="H161"/>
      <c r="I161"/>
      <c r="J161"/>
      <c r="K161"/>
      <c r="L161"/>
      <c r="M161"/>
      <c r="N161"/>
      <c r="O161"/>
      <c r="P161"/>
      <c r="Q161"/>
      <c r="R161"/>
      <c r="S161"/>
      <c r="T161"/>
      <c r="U161"/>
      <c r="V161"/>
    </row>
    <row r="162" spans="1:22" x14ac:dyDescent="0.25">
      <c r="A162"/>
      <c r="B162"/>
      <c r="C162"/>
      <c r="D162"/>
      <c r="E162"/>
      <c r="F162" s="4"/>
      <c r="G162" s="1"/>
      <c r="H162"/>
      <c r="I162"/>
      <c r="J162"/>
      <c r="K162"/>
      <c r="L162"/>
      <c r="M162"/>
      <c r="N162"/>
      <c r="O162"/>
      <c r="P162"/>
      <c r="Q162"/>
      <c r="R162"/>
      <c r="S162"/>
      <c r="T162"/>
      <c r="U162"/>
      <c r="V162"/>
    </row>
    <row r="163" spans="1:22" x14ac:dyDescent="0.25">
      <c r="A163"/>
      <c r="B163"/>
      <c r="C163"/>
      <c r="D163"/>
      <c r="E163"/>
      <c r="F163" s="4"/>
      <c r="G163" s="1"/>
      <c r="H163"/>
      <c r="I163"/>
      <c r="J163"/>
      <c r="K163"/>
      <c r="L163"/>
      <c r="M163"/>
      <c r="N163"/>
      <c r="O163"/>
      <c r="P163"/>
      <c r="Q163"/>
      <c r="R163"/>
      <c r="S163"/>
      <c r="T163"/>
      <c r="U163"/>
      <c r="V163"/>
    </row>
    <row r="164" spans="1:22" x14ac:dyDescent="0.25">
      <c r="A164"/>
      <c r="B164"/>
      <c r="C164"/>
      <c r="D164"/>
      <c r="E164"/>
      <c r="F164" s="4"/>
      <c r="G164" s="1"/>
      <c r="H164"/>
      <c r="I164"/>
      <c r="J164"/>
      <c r="K164"/>
      <c r="L164"/>
      <c r="M164"/>
      <c r="N164"/>
      <c r="O164"/>
      <c r="P164"/>
      <c r="Q164"/>
      <c r="R164"/>
      <c r="S164"/>
      <c r="T164"/>
      <c r="U164"/>
      <c r="V164"/>
    </row>
    <row r="165" spans="1:22" x14ac:dyDescent="0.25">
      <c r="A165"/>
      <c r="B165"/>
      <c r="C165"/>
      <c r="D165"/>
      <c r="E165"/>
      <c r="F165" s="4"/>
      <c r="G165" s="1"/>
      <c r="H165"/>
      <c r="I165"/>
      <c r="J165"/>
      <c r="K165"/>
      <c r="L165"/>
      <c r="M165"/>
      <c r="N165"/>
      <c r="O165"/>
      <c r="P165"/>
      <c r="Q165"/>
      <c r="R165"/>
      <c r="S165"/>
      <c r="T165"/>
      <c r="U165"/>
      <c r="V165"/>
    </row>
    <row r="166" spans="1:22" x14ac:dyDescent="0.25">
      <c r="A166"/>
      <c r="B166"/>
      <c r="C166"/>
      <c r="D166"/>
      <c r="E166"/>
      <c r="F166" s="4"/>
      <c r="G166" s="1"/>
      <c r="H166"/>
      <c r="I166"/>
      <c r="J166"/>
      <c r="K166"/>
      <c r="L166"/>
      <c r="M166"/>
      <c r="N166"/>
      <c r="O166"/>
      <c r="P166"/>
      <c r="Q166"/>
      <c r="R166"/>
      <c r="S166"/>
      <c r="T166"/>
      <c r="U166"/>
      <c r="V166"/>
    </row>
    <row r="167" spans="1:22" x14ac:dyDescent="0.25">
      <c r="A167"/>
      <c r="B167"/>
      <c r="C167"/>
      <c r="D167"/>
      <c r="E167"/>
      <c r="F167" s="4"/>
      <c r="G167" s="1"/>
      <c r="H167"/>
      <c r="I167"/>
      <c r="J167"/>
      <c r="K167"/>
      <c r="L167"/>
      <c r="M167"/>
      <c r="N167"/>
      <c r="O167"/>
      <c r="P167"/>
      <c r="Q167"/>
      <c r="R167"/>
      <c r="S167"/>
      <c r="T167"/>
      <c r="U167"/>
      <c r="V167"/>
    </row>
    <row r="168" spans="1:22" x14ac:dyDescent="0.25">
      <c r="A168"/>
      <c r="B168"/>
      <c r="C168"/>
      <c r="D168"/>
      <c r="E168"/>
      <c r="F168" s="4"/>
      <c r="G168" s="1"/>
      <c r="H168"/>
      <c r="I168"/>
      <c r="J168"/>
      <c r="K168"/>
      <c r="L168"/>
      <c r="M168"/>
      <c r="N168"/>
      <c r="O168"/>
      <c r="P168"/>
      <c r="Q168"/>
      <c r="R168"/>
      <c r="S168"/>
      <c r="T168"/>
      <c r="U168"/>
      <c r="V168"/>
    </row>
    <row r="169" spans="1:22" x14ac:dyDescent="0.25">
      <c r="A169"/>
      <c r="B169"/>
      <c r="C169"/>
      <c r="D169"/>
      <c r="E169"/>
      <c r="F169" s="4"/>
      <c r="G169" s="1"/>
      <c r="H169"/>
      <c r="I169"/>
      <c r="J169"/>
      <c r="K169"/>
      <c r="L169"/>
      <c r="M169"/>
      <c r="N169"/>
      <c r="O169"/>
      <c r="P169"/>
      <c r="Q169"/>
      <c r="R169"/>
      <c r="S169"/>
      <c r="T169"/>
      <c r="U169"/>
      <c r="V169"/>
    </row>
    <row r="170" spans="1:22" x14ac:dyDescent="0.25">
      <c r="A170"/>
      <c r="B170"/>
      <c r="C170"/>
      <c r="D170"/>
      <c r="E170"/>
      <c r="F170" s="4"/>
      <c r="G170" s="1"/>
      <c r="H170"/>
      <c r="I170"/>
      <c r="J170"/>
      <c r="K170"/>
      <c r="L170"/>
      <c r="M170"/>
      <c r="N170"/>
      <c r="O170"/>
      <c r="P170"/>
      <c r="Q170"/>
      <c r="R170"/>
      <c r="S170"/>
      <c r="T170"/>
      <c r="U170"/>
      <c r="V170"/>
    </row>
    <row r="171" spans="1:22" x14ac:dyDescent="0.25">
      <c r="A171"/>
      <c r="B171"/>
      <c r="C171"/>
      <c r="D171"/>
      <c r="E171"/>
      <c r="F171" s="4"/>
      <c r="G171" s="1"/>
      <c r="H171"/>
      <c r="I171"/>
      <c r="J171"/>
      <c r="K171"/>
      <c r="L171"/>
      <c r="M171"/>
      <c r="N171"/>
      <c r="O171"/>
      <c r="P171"/>
      <c r="Q171"/>
      <c r="R171"/>
      <c r="S171"/>
      <c r="T171"/>
      <c r="U171"/>
      <c r="V171"/>
    </row>
    <row r="172" spans="1:22" x14ac:dyDescent="0.25">
      <c r="A172"/>
      <c r="B172"/>
      <c r="C172"/>
      <c r="D172"/>
      <c r="E172"/>
      <c r="F172" s="4"/>
      <c r="G172" s="1"/>
      <c r="H172"/>
      <c r="I172"/>
      <c r="J172"/>
      <c r="K172"/>
      <c r="L172"/>
      <c r="M172"/>
      <c r="N172"/>
      <c r="O172"/>
      <c r="P172"/>
      <c r="Q172"/>
      <c r="R172"/>
      <c r="S172"/>
      <c r="T172"/>
      <c r="U172"/>
      <c r="V172"/>
    </row>
    <row r="173" spans="1:22" x14ac:dyDescent="0.25">
      <c r="A173"/>
      <c r="B173"/>
      <c r="C173"/>
      <c r="D173"/>
      <c r="E173"/>
      <c r="F173" s="4"/>
      <c r="G173" s="1"/>
      <c r="H173"/>
      <c r="I173"/>
      <c r="J173"/>
      <c r="K173"/>
      <c r="L173"/>
      <c r="M173"/>
      <c r="N173"/>
      <c r="O173"/>
      <c r="P173"/>
      <c r="Q173"/>
      <c r="R173"/>
      <c r="S173"/>
      <c r="T173"/>
      <c r="U173"/>
      <c r="V173"/>
    </row>
    <row r="174" spans="1:22" x14ac:dyDescent="0.25">
      <c r="A174"/>
      <c r="B174"/>
      <c r="C174"/>
      <c r="D174"/>
      <c r="E174"/>
      <c r="F174" s="4"/>
      <c r="G174" s="1"/>
      <c r="H174"/>
      <c r="I174"/>
      <c r="J174"/>
      <c r="K174"/>
      <c r="L174"/>
      <c r="M174"/>
      <c r="N174"/>
      <c r="O174"/>
      <c r="P174"/>
      <c r="Q174"/>
      <c r="R174"/>
      <c r="S174"/>
      <c r="T174"/>
      <c r="U174"/>
      <c r="V174"/>
    </row>
    <row r="175" spans="1:22" x14ac:dyDescent="0.25">
      <c r="A175"/>
      <c r="B175"/>
      <c r="C175"/>
      <c r="D175"/>
      <c r="E175"/>
      <c r="F175" s="4"/>
      <c r="G175" s="1"/>
      <c r="H175"/>
      <c r="I175"/>
      <c r="J175"/>
      <c r="K175"/>
      <c r="L175"/>
      <c r="M175"/>
      <c r="N175"/>
      <c r="O175"/>
      <c r="P175"/>
      <c r="Q175"/>
      <c r="R175"/>
      <c r="S175"/>
      <c r="T175"/>
      <c r="U175"/>
      <c r="V175"/>
    </row>
    <row r="176" spans="1:22" x14ac:dyDescent="0.25">
      <c r="A176"/>
      <c r="B176"/>
      <c r="C176"/>
      <c r="D176"/>
      <c r="E176"/>
      <c r="F176" s="4"/>
      <c r="G176" s="1"/>
      <c r="H176"/>
      <c r="I176"/>
      <c r="J176"/>
      <c r="K176"/>
      <c r="L176"/>
      <c r="M176"/>
      <c r="N176"/>
      <c r="O176"/>
      <c r="P176"/>
      <c r="Q176"/>
      <c r="R176"/>
      <c r="S176"/>
      <c r="T176"/>
      <c r="U176"/>
      <c r="V176"/>
    </row>
    <row r="177" spans="1:22" x14ac:dyDescent="0.25">
      <c r="A177"/>
      <c r="B177"/>
      <c r="C177"/>
      <c r="D177"/>
      <c r="E177"/>
      <c r="F177" s="4"/>
      <c r="G177" s="1"/>
      <c r="H177"/>
      <c r="I177"/>
      <c r="J177"/>
      <c r="K177"/>
      <c r="L177"/>
      <c r="M177"/>
      <c r="N177"/>
      <c r="O177"/>
      <c r="P177"/>
      <c r="Q177"/>
      <c r="R177"/>
      <c r="S177"/>
      <c r="T177"/>
      <c r="U177"/>
      <c r="V177"/>
    </row>
    <row r="178" spans="1:22" x14ac:dyDescent="0.25">
      <c r="A178"/>
      <c r="B178"/>
      <c r="C178"/>
      <c r="D178"/>
      <c r="E178"/>
      <c r="F178" s="4"/>
      <c r="G178" s="1"/>
      <c r="H178"/>
      <c r="I178"/>
      <c r="J178"/>
      <c r="K178"/>
      <c r="L178"/>
      <c r="M178"/>
      <c r="N178"/>
      <c r="O178"/>
      <c r="P178"/>
      <c r="Q178"/>
      <c r="R178"/>
      <c r="S178"/>
      <c r="T178"/>
      <c r="U178"/>
      <c r="V178"/>
    </row>
    <row r="179" spans="1:22" x14ac:dyDescent="0.25">
      <c r="A179"/>
      <c r="B179"/>
      <c r="C179"/>
      <c r="D179"/>
      <c r="E179"/>
      <c r="F179" s="4"/>
      <c r="G179" s="1"/>
      <c r="H179"/>
      <c r="I179"/>
      <c r="J179"/>
      <c r="K179"/>
      <c r="L179"/>
      <c r="M179"/>
      <c r="N179"/>
      <c r="O179"/>
      <c r="P179"/>
      <c r="Q179"/>
      <c r="R179"/>
      <c r="S179"/>
      <c r="T179"/>
      <c r="U179"/>
      <c r="V179"/>
    </row>
    <row r="180" spans="1:22" x14ac:dyDescent="0.25">
      <c r="A180"/>
      <c r="B180"/>
      <c r="C180"/>
      <c r="D180"/>
      <c r="E180"/>
      <c r="F180" s="4"/>
      <c r="G180" s="1"/>
      <c r="H180"/>
      <c r="I180"/>
      <c r="J180"/>
      <c r="K180"/>
      <c r="L180"/>
      <c r="M180"/>
      <c r="N180"/>
      <c r="O180"/>
      <c r="P180"/>
      <c r="Q180"/>
      <c r="R180"/>
      <c r="S180"/>
      <c r="T180"/>
      <c r="U180"/>
      <c r="V180"/>
    </row>
    <row r="181" spans="1:22" x14ac:dyDescent="0.25">
      <c r="A181"/>
      <c r="B181"/>
      <c r="C181"/>
      <c r="D181"/>
      <c r="E181"/>
      <c r="F181" s="4"/>
      <c r="G181" s="1"/>
      <c r="H181"/>
      <c r="I181"/>
      <c r="J181"/>
      <c r="K181"/>
      <c r="L181"/>
      <c r="M181"/>
      <c r="N181"/>
      <c r="O181"/>
      <c r="P181"/>
      <c r="Q181"/>
      <c r="R181"/>
      <c r="S181"/>
      <c r="T181"/>
      <c r="U181"/>
      <c r="V181"/>
    </row>
    <row r="182" spans="1:22" x14ac:dyDescent="0.25">
      <c r="A182"/>
      <c r="B182"/>
      <c r="C182"/>
      <c r="D182"/>
      <c r="E182"/>
      <c r="F182" s="4"/>
      <c r="G182" s="1"/>
      <c r="H182"/>
      <c r="I182"/>
      <c r="J182"/>
      <c r="K182"/>
      <c r="L182"/>
      <c r="M182"/>
      <c r="N182"/>
      <c r="O182"/>
      <c r="P182"/>
      <c r="Q182"/>
      <c r="R182"/>
      <c r="S182"/>
      <c r="T182"/>
      <c r="U182"/>
      <c r="V182"/>
    </row>
    <row r="183" spans="1:22" x14ac:dyDescent="0.25">
      <c r="A183"/>
      <c r="B183"/>
      <c r="C183"/>
      <c r="D183"/>
      <c r="E183"/>
      <c r="F183" s="4"/>
      <c r="G183" s="1"/>
      <c r="H183"/>
      <c r="I183"/>
      <c r="J183"/>
      <c r="K183"/>
      <c r="L183"/>
      <c r="M183"/>
      <c r="N183"/>
      <c r="O183"/>
      <c r="P183"/>
      <c r="Q183"/>
      <c r="R183"/>
      <c r="S183"/>
      <c r="T183"/>
      <c r="U183"/>
      <c r="V183"/>
    </row>
    <row r="184" spans="1:22" x14ac:dyDescent="0.25">
      <c r="A184"/>
      <c r="B184"/>
      <c r="C184"/>
      <c r="D184"/>
      <c r="E184"/>
      <c r="F184" s="4"/>
      <c r="G184" s="1"/>
      <c r="H184"/>
      <c r="I184"/>
      <c r="J184"/>
      <c r="K184"/>
      <c r="L184"/>
      <c r="M184"/>
      <c r="N184"/>
      <c r="O184"/>
      <c r="P184"/>
      <c r="Q184"/>
      <c r="R184"/>
      <c r="S184"/>
      <c r="T184"/>
      <c r="U184"/>
      <c r="V184"/>
    </row>
    <row r="185" spans="1:22" x14ac:dyDescent="0.25">
      <c r="A185"/>
      <c r="B185"/>
      <c r="C185"/>
      <c r="D185"/>
      <c r="E185"/>
      <c r="F185" s="4"/>
      <c r="G185" s="1"/>
      <c r="H185"/>
      <c r="I185"/>
      <c r="J185"/>
      <c r="K185"/>
      <c r="L185"/>
      <c r="M185"/>
      <c r="N185"/>
      <c r="O185"/>
      <c r="P185"/>
      <c r="Q185"/>
      <c r="R185"/>
      <c r="S185"/>
      <c r="T185"/>
      <c r="U185"/>
      <c r="V185"/>
    </row>
    <row r="186" spans="1:22" x14ac:dyDescent="0.25">
      <c r="A186"/>
      <c r="B186"/>
      <c r="C186"/>
      <c r="D186"/>
      <c r="E186"/>
      <c r="F186" s="4"/>
      <c r="G186" s="1"/>
      <c r="H186"/>
      <c r="I186"/>
      <c r="J186"/>
      <c r="K186"/>
      <c r="L186"/>
      <c r="M186"/>
      <c r="N186"/>
      <c r="O186"/>
      <c r="P186"/>
      <c r="Q186"/>
      <c r="R186"/>
      <c r="S186"/>
      <c r="T186"/>
      <c r="U186"/>
      <c r="V186"/>
    </row>
    <row r="187" spans="1:22" x14ac:dyDescent="0.25">
      <c r="A187"/>
      <c r="B187"/>
      <c r="C187"/>
      <c r="D187"/>
      <c r="E187"/>
      <c r="F187" s="4"/>
      <c r="G187" s="1"/>
      <c r="H187"/>
      <c r="I187"/>
      <c r="J187"/>
      <c r="K187"/>
      <c r="L187"/>
      <c r="M187"/>
      <c r="N187"/>
      <c r="O187"/>
      <c r="P187"/>
      <c r="Q187"/>
      <c r="R187"/>
      <c r="S187"/>
      <c r="T187"/>
      <c r="U187"/>
      <c r="V187"/>
    </row>
    <row r="188" spans="1:22" x14ac:dyDescent="0.25">
      <c r="A188"/>
      <c r="B188"/>
      <c r="C188"/>
      <c r="D188"/>
      <c r="E188"/>
      <c r="F188" s="4"/>
      <c r="G188" s="1"/>
      <c r="H188"/>
      <c r="I188"/>
      <c r="J188"/>
      <c r="K188"/>
      <c r="L188"/>
      <c r="M188"/>
      <c r="N188"/>
      <c r="O188"/>
      <c r="P188"/>
      <c r="Q188"/>
      <c r="R188"/>
      <c r="S188"/>
      <c r="T188"/>
      <c r="U188"/>
      <c r="V188"/>
    </row>
    <row r="189" spans="1:22" x14ac:dyDescent="0.25">
      <c r="A189"/>
      <c r="B189"/>
      <c r="C189"/>
      <c r="D189"/>
      <c r="E189"/>
      <c r="F189" s="4"/>
      <c r="G189" s="1"/>
      <c r="H189"/>
      <c r="I189"/>
      <c r="J189"/>
      <c r="K189"/>
      <c r="L189"/>
      <c r="M189"/>
      <c r="N189"/>
      <c r="O189"/>
      <c r="P189"/>
      <c r="Q189"/>
      <c r="R189"/>
      <c r="S189"/>
      <c r="T189"/>
      <c r="U189"/>
      <c r="V189"/>
    </row>
    <row r="190" spans="1:22" x14ac:dyDescent="0.25">
      <c r="A190"/>
      <c r="B190"/>
      <c r="C190"/>
      <c r="D190"/>
      <c r="E190"/>
      <c r="F190" s="4"/>
      <c r="G190" s="1"/>
      <c r="H190"/>
      <c r="I190"/>
      <c r="J190"/>
      <c r="K190"/>
      <c r="L190"/>
      <c r="M190"/>
      <c r="N190"/>
      <c r="O190"/>
      <c r="P190"/>
      <c r="Q190"/>
      <c r="R190"/>
      <c r="S190"/>
      <c r="T190"/>
      <c r="U190"/>
      <c r="V190"/>
    </row>
    <row r="191" spans="1:22" x14ac:dyDescent="0.25">
      <c r="A191"/>
      <c r="B191"/>
      <c r="C191"/>
      <c r="D191"/>
      <c r="E191"/>
      <c r="F191" s="4"/>
      <c r="G191" s="1"/>
      <c r="H191"/>
      <c r="I191"/>
      <c r="J191"/>
      <c r="K191"/>
      <c r="L191"/>
      <c r="M191"/>
      <c r="N191"/>
      <c r="O191"/>
      <c r="P191"/>
      <c r="Q191"/>
      <c r="R191"/>
      <c r="S191"/>
      <c r="T191"/>
      <c r="U191"/>
      <c r="V191"/>
    </row>
    <row r="192" spans="1:22" x14ac:dyDescent="0.25">
      <c r="A192"/>
      <c r="B192"/>
      <c r="C192"/>
      <c r="D192"/>
      <c r="E192"/>
      <c r="F192" s="4"/>
      <c r="G192" s="1"/>
      <c r="H192"/>
      <c r="I192"/>
      <c r="J192"/>
      <c r="K192"/>
      <c r="L192"/>
      <c r="M192"/>
      <c r="N192"/>
      <c r="O192"/>
      <c r="P192"/>
      <c r="Q192"/>
      <c r="R192"/>
      <c r="S192"/>
      <c r="T192"/>
      <c r="U192"/>
      <c r="V192"/>
    </row>
    <row r="193" spans="1:22" x14ac:dyDescent="0.25">
      <c r="A193"/>
      <c r="B193"/>
      <c r="C193"/>
      <c r="D193"/>
      <c r="E193"/>
      <c r="F193" s="4"/>
      <c r="G193" s="1"/>
      <c r="H193"/>
      <c r="I193"/>
      <c r="J193"/>
      <c r="K193"/>
      <c r="L193"/>
      <c r="M193"/>
      <c r="N193"/>
      <c r="O193"/>
      <c r="P193"/>
      <c r="Q193"/>
      <c r="R193"/>
      <c r="S193"/>
      <c r="T193"/>
      <c r="U193"/>
      <c r="V193"/>
    </row>
    <row r="194" spans="1:22" x14ac:dyDescent="0.25">
      <c r="A194"/>
      <c r="B194"/>
      <c r="C194"/>
      <c r="D194"/>
      <c r="E194"/>
      <c r="F194" s="4"/>
      <c r="G194" s="1"/>
      <c r="H194"/>
      <c r="I194"/>
      <c r="J194"/>
      <c r="K194"/>
      <c r="L194"/>
      <c r="M194"/>
      <c r="N194"/>
      <c r="O194"/>
      <c r="P194"/>
      <c r="Q194"/>
      <c r="R194"/>
      <c r="S194"/>
      <c r="T194"/>
      <c r="U194"/>
      <c r="V194"/>
    </row>
    <row r="195" spans="1:22" x14ac:dyDescent="0.25">
      <c r="A195"/>
      <c r="B195"/>
      <c r="C195"/>
      <c r="D195"/>
      <c r="E195"/>
      <c r="F195" s="4"/>
      <c r="G195" s="1"/>
      <c r="H195"/>
      <c r="I195"/>
      <c r="J195"/>
      <c r="K195"/>
      <c r="L195"/>
      <c r="M195"/>
      <c r="N195"/>
      <c r="O195"/>
      <c r="P195"/>
      <c r="Q195"/>
      <c r="R195"/>
      <c r="S195"/>
      <c r="T195"/>
      <c r="U195"/>
      <c r="V195"/>
    </row>
    <row r="196" spans="1:22" x14ac:dyDescent="0.25">
      <c r="A196"/>
      <c r="B196"/>
      <c r="C196"/>
      <c r="D196"/>
      <c r="E196"/>
      <c r="F196" s="4"/>
      <c r="G196" s="1"/>
      <c r="H196"/>
      <c r="I196"/>
      <c r="J196"/>
      <c r="K196"/>
      <c r="L196"/>
      <c r="M196"/>
      <c r="N196"/>
      <c r="O196"/>
      <c r="P196"/>
      <c r="Q196"/>
      <c r="R196"/>
      <c r="S196"/>
      <c r="T196"/>
      <c r="U196"/>
      <c r="V196"/>
    </row>
    <row r="197" spans="1:22" x14ac:dyDescent="0.25">
      <c r="A197"/>
      <c r="B197"/>
      <c r="C197"/>
      <c r="D197"/>
      <c r="E197"/>
      <c r="F197" s="4"/>
      <c r="G197" s="1"/>
      <c r="H197"/>
      <c r="I197"/>
      <c r="J197"/>
      <c r="K197"/>
      <c r="L197"/>
      <c r="M197"/>
      <c r="N197"/>
      <c r="O197"/>
      <c r="P197"/>
      <c r="Q197"/>
      <c r="R197"/>
      <c r="S197"/>
      <c r="T197"/>
      <c r="U197"/>
      <c r="V197"/>
    </row>
    <row r="198" spans="1:22" x14ac:dyDescent="0.25">
      <c r="A198"/>
      <c r="B198"/>
      <c r="C198"/>
      <c r="D198"/>
      <c r="E198"/>
      <c r="F198" s="4"/>
      <c r="G198" s="1"/>
      <c r="H198"/>
      <c r="I198"/>
      <c r="J198"/>
      <c r="K198"/>
      <c r="L198"/>
      <c r="M198"/>
      <c r="N198"/>
      <c r="O198"/>
      <c r="P198"/>
      <c r="Q198"/>
      <c r="R198"/>
      <c r="S198"/>
      <c r="T198"/>
      <c r="U198"/>
      <c r="V198"/>
    </row>
    <row r="199" spans="1:22" x14ac:dyDescent="0.25">
      <c r="A199"/>
      <c r="B199"/>
      <c r="C199"/>
      <c r="D199"/>
      <c r="E199"/>
      <c r="F199" s="4"/>
      <c r="G199" s="1"/>
      <c r="H199"/>
      <c r="I199"/>
      <c r="J199"/>
      <c r="K199"/>
      <c r="L199"/>
      <c r="M199"/>
      <c r="N199"/>
      <c r="O199"/>
      <c r="P199"/>
      <c r="Q199"/>
      <c r="R199"/>
      <c r="S199"/>
      <c r="T199"/>
      <c r="U199"/>
      <c r="V199"/>
    </row>
    <row r="200" spans="1:22" x14ac:dyDescent="0.25">
      <c r="A200"/>
      <c r="B200"/>
      <c r="C200"/>
      <c r="D200"/>
      <c r="E200"/>
      <c r="F200" s="4"/>
      <c r="G200" s="1"/>
      <c r="H200"/>
      <c r="I200"/>
      <c r="J200"/>
      <c r="K200"/>
      <c r="L200"/>
      <c r="M200"/>
      <c r="N200"/>
      <c r="O200"/>
      <c r="P200"/>
      <c r="Q200"/>
      <c r="R200"/>
      <c r="S200"/>
      <c r="T200"/>
      <c r="U200"/>
      <c r="V200"/>
    </row>
    <row r="201" spans="1:22" x14ac:dyDescent="0.25">
      <c r="A201"/>
      <c r="B201"/>
      <c r="C201"/>
      <c r="D201"/>
      <c r="E201"/>
      <c r="F201" s="4"/>
      <c r="G201" s="1"/>
      <c r="H201"/>
      <c r="I201"/>
      <c r="J201"/>
      <c r="K201"/>
      <c r="L201"/>
      <c r="M201"/>
      <c r="N201"/>
      <c r="O201"/>
      <c r="P201"/>
      <c r="Q201"/>
      <c r="R201"/>
      <c r="S201"/>
      <c r="T201"/>
      <c r="U201"/>
      <c r="V201"/>
    </row>
    <row r="202" spans="1:22" x14ac:dyDescent="0.25">
      <c r="A202"/>
      <c r="B202"/>
      <c r="C202"/>
      <c r="D202"/>
      <c r="E202"/>
      <c r="F202" s="4"/>
      <c r="G202" s="1"/>
      <c r="H202"/>
      <c r="I202"/>
      <c r="J202"/>
      <c r="K202"/>
      <c r="L202"/>
      <c r="M202"/>
      <c r="N202"/>
      <c r="O202"/>
      <c r="P202"/>
      <c r="Q202"/>
      <c r="R202"/>
      <c r="S202"/>
      <c r="T202"/>
      <c r="U202"/>
      <c r="V202"/>
    </row>
    <row r="203" spans="1:22" x14ac:dyDescent="0.25">
      <c r="A203"/>
      <c r="B203"/>
      <c r="C203"/>
      <c r="D203"/>
      <c r="E203"/>
      <c r="F203" s="4"/>
      <c r="G203" s="1"/>
      <c r="H203"/>
      <c r="I203"/>
      <c r="J203"/>
      <c r="K203"/>
      <c r="L203"/>
      <c r="M203"/>
      <c r="N203"/>
      <c r="O203"/>
      <c r="P203"/>
      <c r="Q203"/>
      <c r="R203"/>
      <c r="S203"/>
      <c r="T203"/>
      <c r="U203"/>
      <c r="V203"/>
    </row>
    <row r="204" spans="1:22" x14ac:dyDescent="0.25">
      <c r="A204"/>
      <c r="B204"/>
      <c r="C204"/>
      <c r="D204"/>
      <c r="E204"/>
      <c r="F204" s="4"/>
      <c r="G204" s="1"/>
      <c r="H204"/>
      <c r="I204"/>
      <c r="J204"/>
      <c r="K204"/>
      <c r="L204"/>
      <c r="M204"/>
      <c r="N204"/>
      <c r="O204"/>
      <c r="P204"/>
      <c r="Q204"/>
      <c r="R204"/>
      <c r="S204"/>
      <c r="T204"/>
      <c r="U204"/>
      <c r="V204"/>
    </row>
    <row r="205" spans="1:22" x14ac:dyDescent="0.25">
      <c r="A205"/>
      <c r="B205"/>
      <c r="C205"/>
      <c r="D205"/>
      <c r="E205"/>
      <c r="F205" s="4"/>
      <c r="G205" s="1"/>
      <c r="H205"/>
      <c r="I205"/>
      <c r="J205"/>
      <c r="K205"/>
      <c r="L205"/>
      <c r="M205"/>
      <c r="N205"/>
      <c r="O205"/>
      <c r="P205"/>
      <c r="Q205"/>
      <c r="R205"/>
      <c r="S205"/>
      <c r="T205"/>
      <c r="U205"/>
      <c r="V205"/>
    </row>
    <row r="206" spans="1:22" x14ac:dyDescent="0.25">
      <c r="A206"/>
      <c r="B206"/>
      <c r="C206"/>
      <c r="D206"/>
      <c r="E206"/>
      <c r="F206" s="4"/>
      <c r="G206" s="1"/>
      <c r="H206"/>
      <c r="I206"/>
      <c r="J206"/>
      <c r="K206"/>
      <c r="L206"/>
      <c r="M206"/>
      <c r="N206"/>
      <c r="O206"/>
      <c r="P206"/>
      <c r="Q206"/>
      <c r="R206"/>
      <c r="S206"/>
      <c r="T206"/>
      <c r="U206"/>
      <c r="V206"/>
    </row>
    <row r="207" spans="1:22" x14ac:dyDescent="0.25">
      <c r="A207"/>
      <c r="B207"/>
      <c r="C207"/>
      <c r="D207"/>
      <c r="E207"/>
      <c r="F207" s="4"/>
      <c r="G207" s="1"/>
      <c r="H207"/>
      <c r="I207"/>
      <c r="J207"/>
      <c r="K207"/>
      <c r="L207"/>
      <c r="M207"/>
      <c r="N207"/>
      <c r="O207"/>
      <c r="P207"/>
      <c r="Q207"/>
      <c r="R207"/>
      <c r="S207"/>
      <c r="T207"/>
      <c r="U207"/>
      <c r="V207"/>
    </row>
    <row r="208" spans="1:22" x14ac:dyDescent="0.25">
      <c r="A208"/>
      <c r="B208"/>
      <c r="C208"/>
      <c r="D208"/>
      <c r="E208"/>
      <c r="F208" s="4"/>
      <c r="G208" s="1"/>
      <c r="H208"/>
      <c r="I208"/>
      <c r="J208"/>
      <c r="K208"/>
      <c r="L208"/>
      <c r="M208"/>
      <c r="N208"/>
      <c r="O208"/>
      <c r="P208"/>
      <c r="Q208"/>
      <c r="R208"/>
      <c r="S208"/>
      <c r="T208"/>
      <c r="U208"/>
      <c r="V208"/>
    </row>
    <row r="209" spans="1:22" x14ac:dyDescent="0.25">
      <c r="A209"/>
      <c r="B209"/>
      <c r="C209"/>
      <c r="D209"/>
      <c r="E209"/>
      <c r="F209" s="4"/>
      <c r="G209" s="1"/>
      <c r="H209"/>
      <c r="I209"/>
      <c r="J209"/>
      <c r="K209"/>
      <c r="L209"/>
      <c r="M209"/>
      <c r="N209"/>
      <c r="O209"/>
      <c r="P209"/>
      <c r="Q209"/>
      <c r="R209"/>
      <c r="S209"/>
      <c r="T209"/>
      <c r="U209"/>
      <c r="V209"/>
    </row>
    <row r="210" spans="1:22" x14ac:dyDescent="0.25">
      <c r="A210"/>
      <c r="B210"/>
      <c r="C210"/>
      <c r="D210"/>
      <c r="E210"/>
      <c r="F210" s="4"/>
      <c r="G210" s="1"/>
      <c r="H210"/>
      <c r="I210"/>
      <c r="J210"/>
      <c r="K210"/>
      <c r="L210"/>
      <c r="M210"/>
      <c r="N210"/>
      <c r="O210"/>
      <c r="P210"/>
      <c r="Q210"/>
      <c r="R210"/>
      <c r="S210"/>
      <c r="T210"/>
      <c r="U210"/>
      <c r="V210"/>
    </row>
    <row r="211" spans="1:22" x14ac:dyDescent="0.25">
      <c r="A211"/>
      <c r="B211"/>
      <c r="C211"/>
      <c r="D211"/>
      <c r="E211"/>
      <c r="F211" s="4"/>
      <c r="G211" s="1"/>
      <c r="H211"/>
      <c r="I211"/>
      <c r="J211"/>
      <c r="K211"/>
      <c r="L211"/>
      <c r="M211"/>
      <c r="N211"/>
      <c r="O211"/>
      <c r="P211"/>
      <c r="Q211"/>
      <c r="R211"/>
      <c r="S211"/>
      <c r="T211"/>
      <c r="U211"/>
      <c r="V211"/>
    </row>
    <row r="212" spans="1:22" x14ac:dyDescent="0.25">
      <c r="A212"/>
      <c r="B212"/>
      <c r="C212"/>
      <c r="D212"/>
      <c r="E212"/>
      <c r="F212" s="4"/>
      <c r="G212" s="1"/>
      <c r="H212"/>
      <c r="I212"/>
      <c r="J212"/>
      <c r="K212"/>
      <c r="L212"/>
      <c r="M212"/>
      <c r="N212"/>
      <c r="O212"/>
      <c r="P212"/>
      <c r="Q212"/>
      <c r="R212"/>
      <c r="S212"/>
      <c r="T212"/>
      <c r="U212"/>
      <c r="V212"/>
    </row>
    <row r="213" spans="1:22" x14ac:dyDescent="0.25">
      <c r="A213"/>
      <c r="B213"/>
      <c r="C213"/>
      <c r="D213"/>
      <c r="E213"/>
      <c r="F213" s="4"/>
      <c r="G213" s="1"/>
      <c r="H213"/>
      <c r="I213"/>
      <c r="J213"/>
      <c r="K213"/>
      <c r="L213"/>
      <c r="M213"/>
      <c r="N213"/>
      <c r="O213"/>
      <c r="P213"/>
      <c r="Q213"/>
      <c r="R213"/>
      <c r="S213"/>
      <c r="T213"/>
      <c r="U213"/>
      <c r="V213"/>
    </row>
    <row r="214" spans="1:22" x14ac:dyDescent="0.25">
      <c r="A214"/>
      <c r="B214"/>
      <c r="C214"/>
      <c r="D214"/>
      <c r="E214"/>
      <c r="F214" s="4"/>
      <c r="G214" s="1"/>
      <c r="H214"/>
      <c r="I214"/>
      <c r="J214"/>
      <c r="K214"/>
      <c r="L214"/>
      <c r="M214"/>
      <c r="N214"/>
      <c r="O214"/>
      <c r="P214"/>
      <c r="Q214"/>
      <c r="R214"/>
      <c r="S214"/>
      <c r="T214"/>
      <c r="U214"/>
      <c r="V214"/>
    </row>
    <row r="215" spans="1:22" x14ac:dyDescent="0.25">
      <c r="A215"/>
      <c r="B215"/>
      <c r="C215"/>
      <c r="D215"/>
      <c r="E215"/>
      <c r="F215" s="4"/>
      <c r="G215" s="1"/>
      <c r="H215"/>
      <c r="I215"/>
      <c r="J215"/>
      <c r="K215"/>
      <c r="L215"/>
      <c r="M215"/>
      <c r="N215"/>
      <c r="O215"/>
      <c r="P215"/>
      <c r="Q215"/>
      <c r="R215"/>
      <c r="S215"/>
      <c r="T215"/>
      <c r="U215"/>
      <c r="V215"/>
    </row>
    <row r="216" spans="1:22" x14ac:dyDescent="0.25">
      <c r="A216"/>
      <c r="B216"/>
      <c r="C216"/>
      <c r="D216"/>
      <c r="E216"/>
      <c r="F216" s="4"/>
      <c r="G216" s="1"/>
      <c r="H216"/>
      <c r="I216"/>
      <c r="J216"/>
      <c r="K216"/>
      <c r="L216"/>
      <c r="M216"/>
      <c r="N216"/>
      <c r="O216"/>
      <c r="P216"/>
      <c r="Q216"/>
      <c r="R216"/>
      <c r="S216"/>
      <c r="T216"/>
      <c r="U216"/>
      <c r="V216"/>
    </row>
    <row r="217" spans="1:22" x14ac:dyDescent="0.25">
      <c r="A217"/>
      <c r="B217"/>
      <c r="C217"/>
      <c r="D217"/>
      <c r="E217"/>
      <c r="F217" s="4"/>
      <c r="G217" s="1"/>
      <c r="H217"/>
      <c r="I217"/>
      <c r="J217"/>
      <c r="K217"/>
      <c r="L217"/>
      <c r="M217"/>
      <c r="N217"/>
      <c r="O217"/>
      <c r="P217"/>
      <c r="Q217"/>
      <c r="R217"/>
      <c r="S217"/>
      <c r="T217"/>
      <c r="U217"/>
      <c r="V217"/>
    </row>
    <row r="218" spans="1:22" x14ac:dyDescent="0.25">
      <c r="A218"/>
      <c r="B218"/>
      <c r="C218"/>
      <c r="D218"/>
      <c r="E218"/>
      <c r="F218" s="4"/>
      <c r="G218" s="1"/>
      <c r="H218"/>
      <c r="I218"/>
      <c r="J218"/>
      <c r="K218"/>
      <c r="L218"/>
      <c r="M218"/>
      <c r="N218"/>
      <c r="O218"/>
      <c r="P218"/>
      <c r="Q218"/>
      <c r="R218"/>
      <c r="S218"/>
      <c r="T218"/>
      <c r="U218"/>
      <c r="V218"/>
    </row>
    <row r="219" spans="1:22" x14ac:dyDescent="0.25">
      <c r="A219"/>
      <c r="B219"/>
      <c r="C219"/>
      <c r="D219"/>
      <c r="E219"/>
      <c r="F219" s="4"/>
      <c r="G219" s="1"/>
      <c r="H219"/>
      <c r="I219"/>
      <c r="J219"/>
      <c r="K219"/>
      <c r="L219"/>
      <c r="M219"/>
      <c r="N219"/>
      <c r="O219"/>
      <c r="P219"/>
      <c r="Q219"/>
      <c r="R219"/>
      <c r="S219"/>
      <c r="T219"/>
      <c r="U219"/>
      <c r="V219"/>
    </row>
    <row r="220" spans="1:22" x14ac:dyDescent="0.25">
      <c r="A220"/>
      <c r="B220"/>
      <c r="C220"/>
      <c r="D220"/>
      <c r="E220"/>
      <c r="F220" s="4"/>
      <c r="G220" s="1"/>
      <c r="H220"/>
      <c r="I220"/>
      <c r="J220"/>
      <c r="K220"/>
      <c r="L220"/>
      <c r="M220"/>
      <c r="N220"/>
      <c r="O220"/>
      <c r="P220"/>
      <c r="Q220"/>
      <c r="R220"/>
      <c r="S220"/>
      <c r="T220"/>
      <c r="U220"/>
      <c r="V220"/>
    </row>
    <row r="221" spans="1:22" x14ac:dyDescent="0.25">
      <c r="A221"/>
      <c r="B221"/>
      <c r="C221"/>
      <c r="D221"/>
      <c r="E221"/>
      <c r="F221" s="4"/>
      <c r="G221" s="1"/>
      <c r="H221"/>
      <c r="I221"/>
      <c r="J221"/>
      <c r="K221"/>
      <c r="L221"/>
      <c r="M221"/>
      <c r="N221"/>
      <c r="O221"/>
      <c r="P221"/>
      <c r="Q221"/>
      <c r="R221"/>
      <c r="S221"/>
      <c r="T221"/>
      <c r="U221"/>
      <c r="V221"/>
    </row>
    <row r="222" spans="1:22" x14ac:dyDescent="0.25">
      <c r="A222"/>
      <c r="B222"/>
      <c r="C222"/>
      <c r="D222"/>
      <c r="E222"/>
      <c r="F222" s="4"/>
      <c r="G222" s="1"/>
      <c r="H222"/>
      <c r="I222"/>
      <c r="J222"/>
      <c r="K222"/>
      <c r="L222"/>
      <c r="M222"/>
      <c r="N222"/>
      <c r="O222"/>
      <c r="P222"/>
      <c r="Q222"/>
      <c r="R222"/>
      <c r="S222"/>
      <c r="T222"/>
      <c r="U222"/>
      <c r="V222"/>
    </row>
    <row r="223" spans="1:22" x14ac:dyDescent="0.25">
      <c r="A223"/>
      <c r="B223"/>
      <c r="C223"/>
      <c r="D223"/>
      <c r="E223"/>
      <c r="F223" s="4"/>
      <c r="G223" s="1"/>
      <c r="H223"/>
      <c r="I223"/>
      <c r="J223"/>
      <c r="K223"/>
      <c r="L223"/>
      <c r="M223"/>
      <c r="N223"/>
      <c r="O223"/>
      <c r="P223"/>
      <c r="Q223"/>
      <c r="R223"/>
      <c r="S223"/>
      <c r="T223"/>
      <c r="U223"/>
      <c r="V223"/>
    </row>
    <row r="224" spans="1:22" x14ac:dyDescent="0.25">
      <c r="A224"/>
      <c r="B224"/>
      <c r="C224"/>
      <c r="D224"/>
      <c r="E224"/>
      <c r="F224" s="4"/>
      <c r="G224" s="1"/>
      <c r="H224"/>
      <c r="I224"/>
      <c r="J224"/>
      <c r="K224"/>
      <c r="L224"/>
      <c r="M224"/>
      <c r="N224"/>
      <c r="O224"/>
      <c r="P224"/>
      <c r="Q224"/>
      <c r="R224"/>
      <c r="S224"/>
      <c r="T224"/>
      <c r="U224"/>
      <c r="V224"/>
    </row>
    <row r="225" spans="1:22" x14ac:dyDescent="0.25">
      <c r="A225"/>
      <c r="B225"/>
      <c r="C225"/>
      <c r="D225"/>
      <c r="E225"/>
      <c r="F225" s="4"/>
      <c r="G225" s="1"/>
      <c r="H225"/>
      <c r="I225"/>
      <c r="J225"/>
      <c r="K225"/>
      <c r="L225"/>
      <c r="M225"/>
      <c r="N225"/>
      <c r="O225"/>
      <c r="P225"/>
      <c r="Q225"/>
      <c r="R225"/>
      <c r="S225"/>
      <c r="T225"/>
      <c r="U225"/>
      <c r="V225"/>
    </row>
    <row r="226" spans="1:22" x14ac:dyDescent="0.25">
      <c r="A226"/>
      <c r="B226"/>
      <c r="C226"/>
      <c r="D226"/>
      <c r="E226"/>
      <c r="F226" s="4"/>
      <c r="G226" s="1"/>
      <c r="H226"/>
      <c r="I226"/>
      <c r="J226"/>
      <c r="K226"/>
      <c r="L226"/>
      <c r="M226"/>
      <c r="N226"/>
      <c r="O226"/>
      <c r="P226"/>
      <c r="Q226"/>
      <c r="R226"/>
      <c r="S226"/>
      <c r="T226"/>
      <c r="U226"/>
      <c r="V226"/>
    </row>
    <row r="227" spans="1:22" x14ac:dyDescent="0.25">
      <c r="A227"/>
      <c r="B227"/>
      <c r="C227"/>
      <c r="D227"/>
      <c r="E227"/>
      <c r="F227" s="4"/>
      <c r="G227" s="1"/>
      <c r="H227"/>
      <c r="I227"/>
      <c r="J227"/>
      <c r="K227"/>
      <c r="L227"/>
      <c r="M227"/>
      <c r="N227"/>
      <c r="O227"/>
      <c r="P227"/>
      <c r="Q227"/>
      <c r="R227"/>
      <c r="S227"/>
      <c r="T227"/>
      <c r="U227"/>
      <c r="V227"/>
    </row>
    <row r="228" spans="1:22" x14ac:dyDescent="0.25">
      <c r="A228"/>
      <c r="B228"/>
      <c r="C228"/>
      <c r="D228"/>
      <c r="E228"/>
      <c r="F228" s="4"/>
      <c r="G228" s="1"/>
      <c r="H228"/>
      <c r="I228"/>
      <c r="J228"/>
      <c r="K228"/>
      <c r="L228"/>
      <c r="M228"/>
      <c r="N228"/>
      <c r="O228"/>
      <c r="P228"/>
      <c r="Q228"/>
      <c r="R228"/>
      <c r="S228"/>
      <c r="T228"/>
      <c r="U228"/>
      <c r="V228"/>
    </row>
    <row r="229" spans="1:22" x14ac:dyDescent="0.25">
      <c r="A229"/>
      <c r="B229"/>
      <c r="C229"/>
      <c r="D229"/>
      <c r="E229"/>
      <c r="F229" s="4"/>
      <c r="G229" s="1"/>
      <c r="H229"/>
      <c r="I229"/>
      <c r="J229"/>
      <c r="K229"/>
      <c r="L229"/>
      <c r="M229"/>
      <c r="N229"/>
      <c r="O229"/>
      <c r="P229"/>
      <c r="Q229"/>
      <c r="R229"/>
      <c r="S229"/>
      <c r="T229"/>
      <c r="U229"/>
      <c r="V229"/>
    </row>
    <row r="230" spans="1:22" x14ac:dyDescent="0.25">
      <c r="A230"/>
      <c r="B230"/>
      <c r="C230"/>
      <c r="D230"/>
      <c r="E230"/>
      <c r="F230" s="4"/>
      <c r="G230" s="1"/>
      <c r="H230"/>
      <c r="I230"/>
      <c r="J230"/>
      <c r="K230"/>
      <c r="L230"/>
      <c r="M230"/>
      <c r="N230"/>
      <c r="O230"/>
      <c r="P230"/>
      <c r="Q230"/>
      <c r="R230"/>
      <c r="S230"/>
      <c r="T230"/>
      <c r="U230"/>
      <c r="V230"/>
    </row>
    <row r="231" spans="1:22" x14ac:dyDescent="0.25">
      <c r="A231"/>
      <c r="B231"/>
      <c r="C231"/>
      <c r="D231"/>
      <c r="E231"/>
      <c r="F231" s="4"/>
      <c r="G231" s="1"/>
      <c r="H231"/>
      <c r="I231"/>
      <c r="J231"/>
      <c r="K231"/>
      <c r="L231"/>
      <c r="M231"/>
      <c r="N231"/>
      <c r="O231"/>
      <c r="P231"/>
      <c r="Q231"/>
      <c r="R231"/>
      <c r="S231"/>
      <c r="T231"/>
      <c r="U231"/>
      <c r="V231"/>
    </row>
    <row r="232" spans="1:22" x14ac:dyDescent="0.25">
      <c r="A232"/>
      <c r="B232"/>
      <c r="C232"/>
      <c r="D232"/>
      <c r="E232"/>
      <c r="F232" s="4"/>
      <c r="G232" s="1"/>
      <c r="H232"/>
      <c r="I232"/>
      <c r="J232"/>
      <c r="K232"/>
      <c r="L232"/>
      <c r="M232"/>
      <c r="N232"/>
      <c r="O232"/>
      <c r="P232"/>
      <c r="Q232"/>
      <c r="R232"/>
      <c r="S232"/>
      <c r="T232"/>
      <c r="U232"/>
      <c r="V232"/>
    </row>
    <row r="233" spans="1:22" x14ac:dyDescent="0.25">
      <c r="A233"/>
      <c r="B233"/>
      <c r="C233"/>
      <c r="D233"/>
      <c r="E233"/>
      <c r="F233" s="4"/>
      <c r="G233" s="1"/>
      <c r="H233"/>
      <c r="I233"/>
      <c r="J233"/>
      <c r="K233"/>
      <c r="L233"/>
      <c r="M233"/>
      <c r="N233"/>
      <c r="O233"/>
      <c r="P233"/>
      <c r="Q233"/>
      <c r="R233"/>
      <c r="S233"/>
      <c r="T233"/>
      <c r="U233"/>
      <c r="V233"/>
    </row>
    <row r="234" spans="1:22" x14ac:dyDescent="0.25">
      <c r="A234"/>
      <c r="B234"/>
      <c r="C234"/>
      <c r="D234"/>
      <c r="E234"/>
      <c r="F234" s="4"/>
      <c r="G234" s="1"/>
      <c r="H234"/>
      <c r="I234"/>
      <c r="J234"/>
      <c r="K234"/>
      <c r="L234"/>
      <c r="M234"/>
      <c r="N234"/>
      <c r="O234"/>
      <c r="P234"/>
      <c r="Q234"/>
      <c r="R234"/>
      <c r="S234"/>
      <c r="T234"/>
      <c r="U234"/>
      <c r="V234"/>
    </row>
    <row r="235" spans="1:22" x14ac:dyDescent="0.25">
      <c r="A235"/>
      <c r="B235"/>
      <c r="C235"/>
      <c r="D235"/>
      <c r="E235"/>
      <c r="F235" s="4"/>
      <c r="G235" s="1"/>
      <c r="H235"/>
      <c r="I235"/>
      <c r="J235"/>
      <c r="K235"/>
      <c r="L235"/>
      <c r="M235"/>
      <c r="N235"/>
      <c r="O235"/>
      <c r="P235"/>
      <c r="Q235"/>
      <c r="R235"/>
      <c r="S235"/>
      <c r="T235"/>
      <c r="U235"/>
      <c r="V235"/>
    </row>
    <row r="236" spans="1:22" x14ac:dyDescent="0.25">
      <c r="A236"/>
      <c r="B236"/>
      <c r="C236"/>
      <c r="D236"/>
      <c r="E236"/>
      <c r="F236" s="4"/>
      <c r="G236" s="1"/>
      <c r="H236"/>
      <c r="I236"/>
      <c r="J236"/>
      <c r="K236"/>
      <c r="L236"/>
      <c r="M236"/>
      <c r="N236"/>
      <c r="O236"/>
      <c r="P236"/>
      <c r="Q236"/>
      <c r="R236"/>
      <c r="S236"/>
      <c r="T236"/>
      <c r="U236"/>
      <c r="V236"/>
    </row>
    <row r="237" spans="1:22" x14ac:dyDescent="0.25">
      <c r="A237"/>
      <c r="B237"/>
      <c r="C237"/>
      <c r="D237"/>
      <c r="E237"/>
      <c r="F237" s="4"/>
      <c r="G237" s="1"/>
      <c r="H237"/>
      <c r="I237"/>
      <c r="J237"/>
      <c r="K237"/>
      <c r="L237"/>
      <c r="M237"/>
      <c r="N237"/>
      <c r="O237"/>
      <c r="P237"/>
      <c r="Q237"/>
      <c r="R237"/>
      <c r="S237"/>
      <c r="T237"/>
      <c r="U237"/>
      <c r="V237"/>
    </row>
    <row r="238" spans="1:22" x14ac:dyDescent="0.25">
      <c r="A238"/>
      <c r="B238"/>
      <c r="C238"/>
      <c r="D238"/>
      <c r="E238"/>
      <c r="F238" s="4"/>
      <c r="G238" s="1"/>
      <c r="H238"/>
      <c r="I238"/>
      <c r="J238"/>
      <c r="K238"/>
      <c r="L238"/>
      <c r="M238"/>
      <c r="N238"/>
      <c r="O238"/>
      <c r="P238"/>
      <c r="Q238"/>
      <c r="R238"/>
      <c r="S238"/>
      <c r="T238"/>
      <c r="U238"/>
      <c r="V238"/>
    </row>
    <row r="239" spans="1:22" x14ac:dyDescent="0.25">
      <c r="A239"/>
      <c r="B239"/>
      <c r="C239"/>
      <c r="D239"/>
      <c r="E239"/>
      <c r="F239" s="4"/>
      <c r="G239" s="1"/>
      <c r="H239"/>
      <c r="I239"/>
      <c r="J239"/>
      <c r="K239"/>
      <c r="L239"/>
      <c r="M239"/>
      <c r="N239"/>
      <c r="O239"/>
      <c r="P239"/>
      <c r="Q239"/>
      <c r="R239"/>
      <c r="S239"/>
      <c r="T239"/>
      <c r="U239"/>
      <c r="V239"/>
    </row>
    <row r="240" spans="1:22" x14ac:dyDescent="0.25">
      <c r="A240"/>
      <c r="B240"/>
      <c r="C240"/>
      <c r="D240"/>
      <c r="E240"/>
      <c r="F240" s="4"/>
      <c r="G240" s="1"/>
      <c r="H240"/>
      <c r="I240"/>
      <c r="J240"/>
      <c r="K240"/>
      <c r="L240"/>
      <c r="M240"/>
      <c r="N240"/>
      <c r="O240"/>
      <c r="P240"/>
      <c r="Q240"/>
      <c r="R240"/>
      <c r="S240"/>
      <c r="T240"/>
      <c r="U240"/>
      <c r="V240"/>
    </row>
    <row r="241" spans="1:22" x14ac:dyDescent="0.25">
      <c r="A241"/>
      <c r="B241"/>
      <c r="C241"/>
      <c r="D241"/>
      <c r="E241"/>
      <c r="F241" s="4"/>
      <c r="G241" s="1"/>
      <c r="H241"/>
      <c r="I241"/>
      <c r="J241"/>
      <c r="K241"/>
      <c r="L241"/>
      <c r="M241"/>
      <c r="N241"/>
      <c r="O241"/>
      <c r="P241"/>
      <c r="Q241"/>
      <c r="R241"/>
      <c r="S241"/>
      <c r="T241"/>
      <c r="U241"/>
      <c r="V241"/>
    </row>
    <row r="242" spans="1:22" x14ac:dyDescent="0.25">
      <c r="A242"/>
      <c r="B242"/>
      <c r="C242"/>
      <c r="D242"/>
      <c r="E242"/>
      <c r="F242" s="4"/>
      <c r="G242" s="1"/>
      <c r="H242"/>
      <c r="I242"/>
      <c r="J242"/>
      <c r="K242"/>
      <c r="L242"/>
      <c r="M242"/>
      <c r="N242"/>
      <c r="O242"/>
      <c r="P242"/>
      <c r="Q242"/>
      <c r="R242"/>
      <c r="S242"/>
      <c r="T242"/>
      <c r="U242"/>
      <c r="V242"/>
    </row>
    <row r="243" spans="1:22" x14ac:dyDescent="0.25">
      <c r="A243"/>
      <c r="B243"/>
      <c r="C243"/>
      <c r="D243"/>
      <c r="E243"/>
      <c r="F243" s="4"/>
      <c r="G243" s="1"/>
      <c r="H243"/>
      <c r="I243"/>
      <c r="J243"/>
      <c r="K243"/>
      <c r="L243"/>
      <c r="M243"/>
      <c r="N243"/>
      <c r="O243"/>
      <c r="P243"/>
      <c r="Q243"/>
      <c r="R243"/>
      <c r="S243"/>
      <c r="T243"/>
      <c r="U243"/>
      <c r="V243"/>
    </row>
    <row r="244" spans="1:22" x14ac:dyDescent="0.25">
      <c r="A244"/>
      <c r="B244"/>
      <c r="C244"/>
      <c r="D244"/>
      <c r="E244"/>
      <c r="F244" s="4"/>
      <c r="G244" s="1"/>
      <c r="H244"/>
      <c r="I244"/>
      <c r="J244"/>
      <c r="K244"/>
      <c r="L244"/>
      <c r="M244"/>
      <c r="N244"/>
      <c r="O244"/>
      <c r="P244"/>
      <c r="Q244"/>
      <c r="R244"/>
      <c r="S244"/>
      <c r="T244"/>
      <c r="U244"/>
      <c r="V244"/>
    </row>
    <row r="245" spans="1:22" x14ac:dyDescent="0.25">
      <c r="A245"/>
      <c r="B245"/>
      <c r="C245"/>
      <c r="D245"/>
      <c r="E245"/>
      <c r="F245" s="4"/>
      <c r="G245" s="1"/>
      <c r="H245"/>
      <c r="I245"/>
      <c r="J245"/>
      <c r="K245"/>
      <c r="L245"/>
      <c r="M245"/>
      <c r="N245"/>
      <c r="O245"/>
      <c r="P245"/>
      <c r="Q245"/>
      <c r="R245"/>
      <c r="S245"/>
      <c r="T245"/>
      <c r="U245"/>
      <c r="V245"/>
    </row>
    <row r="246" spans="1:22" x14ac:dyDescent="0.25">
      <c r="A246"/>
      <c r="B246"/>
      <c r="C246"/>
      <c r="D246"/>
      <c r="E246"/>
      <c r="F246" s="4"/>
      <c r="G246" s="1"/>
      <c r="H246"/>
      <c r="I246"/>
      <c r="J246"/>
      <c r="K246"/>
      <c r="L246"/>
      <c r="M246"/>
      <c r="N246"/>
      <c r="O246"/>
      <c r="P246"/>
      <c r="Q246"/>
      <c r="R246"/>
      <c r="S246"/>
      <c r="T246"/>
      <c r="U246"/>
      <c r="V246"/>
    </row>
    <row r="247" spans="1:22" x14ac:dyDescent="0.25">
      <c r="A247"/>
      <c r="B247"/>
      <c r="C247"/>
      <c r="D247"/>
      <c r="E247"/>
      <c r="F247" s="4"/>
      <c r="G247" s="1"/>
      <c r="H247"/>
      <c r="I247"/>
      <c r="J247"/>
      <c r="K247"/>
      <c r="L247"/>
      <c r="M247"/>
      <c r="N247"/>
      <c r="O247"/>
      <c r="P247"/>
      <c r="Q247"/>
      <c r="R247"/>
      <c r="S247"/>
      <c r="T247"/>
      <c r="U247"/>
      <c r="V247"/>
    </row>
    <row r="248" spans="1:22" x14ac:dyDescent="0.25">
      <c r="A248"/>
      <c r="B248"/>
      <c r="C248"/>
      <c r="D248"/>
      <c r="E248"/>
      <c r="F248" s="4"/>
      <c r="G248" s="1"/>
      <c r="H248"/>
      <c r="I248"/>
      <c r="J248"/>
      <c r="K248"/>
      <c r="L248"/>
      <c r="M248"/>
      <c r="N248"/>
      <c r="O248"/>
      <c r="P248"/>
      <c r="Q248"/>
      <c r="R248"/>
      <c r="S248"/>
      <c r="T248"/>
      <c r="U248"/>
      <c r="V248"/>
    </row>
    <row r="249" spans="1:22" x14ac:dyDescent="0.25">
      <c r="A249"/>
      <c r="B249"/>
      <c r="C249"/>
      <c r="D249"/>
      <c r="E249"/>
      <c r="F249" s="4"/>
      <c r="G249" s="1"/>
      <c r="H249"/>
      <c r="I249"/>
      <c r="J249"/>
      <c r="K249"/>
      <c r="L249"/>
      <c r="M249"/>
      <c r="N249"/>
      <c r="O249"/>
      <c r="P249"/>
      <c r="Q249"/>
      <c r="R249"/>
      <c r="S249"/>
      <c r="T249"/>
      <c r="U249"/>
      <c r="V249"/>
    </row>
    <row r="250" spans="1:22" x14ac:dyDescent="0.25">
      <c r="A250"/>
      <c r="B250"/>
      <c r="C250"/>
      <c r="D250"/>
      <c r="E250"/>
      <c r="F250" s="4"/>
      <c r="G250" s="1"/>
      <c r="H250"/>
      <c r="I250"/>
      <c r="J250"/>
      <c r="K250"/>
      <c r="L250"/>
      <c r="M250"/>
      <c r="N250"/>
      <c r="O250"/>
      <c r="P250"/>
      <c r="Q250"/>
      <c r="R250"/>
      <c r="S250"/>
      <c r="T250"/>
      <c r="U250"/>
      <c r="V250"/>
    </row>
    <row r="251" spans="1:22" x14ac:dyDescent="0.25">
      <c r="A251"/>
      <c r="B251"/>
      <c r="C251"/>
      <c r="D251"/>
      <c r="E251"/>
      <c r="F251" s="4"/>
      <c r="G251" s="1"/>
      <c r="H251"/>
      <c r="I251"/>
      <c r="J251"/>
      <c r="K251"/>
      <c r="L251"/>
      <c r="M251"/>
      <c r="N251"/>
      <c r="O251"/>
      <c r="P251"/>
      <c r="Q251"/>
      <c r="R251"/>
      <c r="S251"/>
      <c r="T251"/>
      <c r="U251"/>
      <c r="V251"/>
    </row>
    <row r="252" spans="1:22" x14ac:dyDescent="0.25">
      <c r="A252"/>
      <c r="B252"/>
      <c r="C252"/>
      <c r="D252"/>
      <c r="E252"/>
      <c r="F252" s="4"/>
      <c r="G252" s="1"/>
      <c r="H252"/>
      <c r="I252"/>
      <c r="J252"/>
      <c r="K252"/>
      <c r="L252"/>
      <c r="M252"/>
      <c r="N252"/>
      <c r="O252"/>
      <c r="P252"/>
      <c r="Q252"/>
      <c r="R252"/>
      <c r="S252"/>
      <c r="T252"/>
      <c r="U252"/>
      <c r="V252"/>
    </row>
    <row r="253" spans="1:22" x14ac:dyDescent="0.25">
      <c r="A253"/>
      <c r="B253"/>
      <c r="C253"/>
      <c r="D253"/>
      <c r="E253"/>
      <c r="F253" s="4"/>
      <c r="G253" s="1"/>
      <c r="H253"/>
      <c r="I253"/>
      <c r="J253"/>
      <c r="K253"/>
      <c r="L253"/>
      <c r="M253"/>
      <c r="N253"/>
      <c r="O253"/>
      <c r="P253"/>
      <c r="Q253"/>
      <c r="R253"/>
      <c r="S253"/>
      <c r="T253"/>
      <c r="U253"/>
      <c r="V253"/>
    </row>
    <row r="254" spans="1:22" x14ac:dyDescent="0.25">
      <c r="A254"/>
      <c r="B254"/>
      <c r="C254"/>
      <c r="D254"/>
      <c r="E254"/>
      <c r="F254" s="4"/>
      <c r="G254" s="1"/>
      <c r="H254"/>
      <c r="I254"/>
      <c r="J254"/>
      <c r="K254"/>
      <c r="L254"/>
      <c r="M254"/>
      <c r="N254"/>
      <c r="O254"/>
      <c r="P254"/>
      <c r="Q254"/>
      <c r="R254"/>
      <c r="S254"/>
      <c r="T254"/>
      <c r="U254"/>
      <c r="V254"/>
    </row>
    <row r="255" spans="1:22" x14ac:dyDescent="0.25">
      <c r="A255"/>
      <c r="B255"/>
      <c r="C255"/>
      <c r="D255"/>
      <c r="E255"/>
      <c r="F255" s="4"/>
      <c r="G255" s="1"/>
      <c r="H255"/>
      <c r="I255"/>
      <c r="J255"/>
      <c r="K255"/>
      <c r="L255"/>
      <c r="M255"/>
      <c r="N255"/>
      <c r="O255"/>
      <c r="P255"/>
      <c r="Q255"/>
      <c r="R255"/>
      <c r="S255"/>
      <c r="T255"/>
      <c r="U255"/>
      <c r="V255"/>
    </row>
    <row r="256" spans="1:22" x14ac:dyDescent="0.25">
      <c r="A256"/>
      <c r="B256"/>
      <c r="C256"/>
      <c r="D256"/>
      <c r="E256"/>
      <c r="F256" s="4"/>
      <c r="G256" s="1"/>
      <c r="H256"/>
      <c r="I256"/>
      <c r="J256"/>
      <c r="K256"/>
      <c r="L256"/>
      <c r="M256"/>
      <c r="N256"/>
      <c r="O256"/>
      <c r="P256"/>
      <c r="Q256"/>
      <c r="R256"/>
      <c r="S256"/>
      <c r="T256"/>
      <c r="U256"/>
      <c r="V256"/>
    </row>
    <row r="257" spans="1:22" x14ac:dyDescent="0.25">
      <c r="A257"/>
      <c r="B257"/>
      <c r="C257"/>
      <c r="D257"/>
      <c r="E257"/>
      <c r="F257" s="4"/>
      <c r="G257" s="1"/>
      <c r="H257"/>
      <c r="I257"/>
      <c r="J257"/>
      <c r="K257"/>
      <c r="L257"/>
      <c r="M257"/>
      <c r="N257"/>
      <c r="O257"/>
      <c r="P257"/>
      <c r="Q257"/>
      <c r="R257"/>
      <c r="S257"/>
      <c r="T257"/>
      <c r="U257"/>
      <c r="V257"/>
    </row>
    <row r="258" spans="1:22" x14ac:dyDescent="0.25">
      <c r="A258"/>
      <c r="B258"/>
      <c r="C258"/>
      <c r="D258"/>
      <c r="E258"/>
      <c r="F258" s="4"/>
      <c r="G258" s="1"/>
      <c r="H258"/>
      <c r="I258"/>
      <c r="J258"/>
      <c r="K258"/>
      <c r="L258"/>
      <c r="M258"/>
      <c r="N258"/>
      <c r="O258"/>
      <c r="P258"/>
      <c r="Q258"/>
      <c r="R258"/>
      <c r="S258"/>
      <c r="T258"/>
      <c r="U258"/>
      <c r="V258"/>
    </row>
    <row r="259" spans="1:22" x14ac:dyDescent="0.25">
      <c r="A259"/>
      <c r="B259"/>
      <c r="C259"/>
      <c r="D259"/>
      <c r="E259"/>
      <c r="F259" s="4"/>
      <c r="G259" s="1"/>
      <c r="H259"/>
      <c r="I259"/>
      <c r="J259"/>
      <c r="K259"/>
      <c r="L259"/>
      <c r="M259"/>
      <c r="N259"/>
      <c r="O259"/>
      <c r="P259"/>
      <c r="Q259"/>
      <c r="R259"/>
      <c r="S259"/>
      <c r="T259"/>
      <c r="U259"/>
      <c r="V259"/>
    </row>
    <row r="260" spans="1:22" x14ac:dyDescent="0.25">
      <c r="A260"/>
      <c r="B260"/>
      <c r="C260"/>
      <c r="D260"/>
      <c r="E260"/>
      <c r="F260" s="4"/>
      <c r="G260" s="1"/>
      <c r="H260"/>
      <c r="I260"/>
      <c r="J260"/>
      <c r="K260"/>
      <c r="L260"/>
      <c r="M260"/>
      <c r="N260"/>
      <c r="O260"/>
      <c r="P260"/>
      <c r="Q260"/>
      <c r="R260"/>
      <c r="S260"/>
      <c r="T260"/>
      <c r="U260"/>
      <c r="V260"/>
    </row>
    <row r="261" spans="1:22" x14ac:dyDescent="0.25">
      <c r="A261"/>
      <c r="B261"/>
      <c r="C261"/>
      <c r="D261"/>
      <c r="E261"/>
      <c r="F261" s="4"/>
      <c r="G261" s="1"/>
      <c r="H261"/>
      <c r="I261"/>
      <c r="J261"/>
      <c r="K261"/>
      <c r="L261"/>
      <c r="M261"/>
      <c r="N261"/>
      <c r="O261"/>
      <c r="P261"/>
      <c r="Q261"/>
      <c r="R261"/>
      <c r="S261"/>
      <c r="T261"/>
      <c r="U261"/>
      <c r="V261"/>
    </row>
    <row r="262" spans="1:22" x14ac:dyDescent="0.25">
      <c r="A262"/>
      <c r="B262"/>
      <c r="C262"/>
      <c r="D262"/>
      <c r="E262"/>
      <c r="F262" s="4"/>
      <c r="G262" s="1"/>
      <c r="H262"/>
      <c r="I262"/>
      <c r="J262"/>
      <c r="K262"/>
      <c r="L262"/>
      <c r="M262"/>
      <c r="N262"/>
      <c r="O262"/>
      <c r="P262"/>
      <c r="Q262"/>
      <c r="R262"/>
      <c r="S262"/>
      <c r="T262"/>
      <c r="U262"/>
      <c r="V262"/>
    </row>
    <row r="263" spans="1:22" x14ac:dyDescent="0.25">
      <c r="A263"/>
      <c r="B263"/>
      <c r="C263"/>
      <c r="D263"/>
      <c r="E263"/>
      <c r="F263" s="4"/>
      <c r="G263" s="1"/>
      <c r="H263"/>
      <c r="I263"/>
      <c r="J263"/>
      <c r="K263"/>
      <c r="L263"/>
      <c r="M263"/>
      <c r="N263"/>
      <c r="O263"/>
      <c r="P263"/>
      <c r="Q263"/>
      <c r="R263"/>
      <c r="S263"/>
      <c r="T263"/>
      <c r="U263"/>
      <c r="V263"/>
    </row>
    <row r="264" spans="1:22" x14ac:dyDescent="0.25">
      <c r="A264"/>
      <c r="B264"/>
      <c r="C264"/>
      <c r="D264"/>
      <c r="E264"/>
      <c r="F264" s="4"/>
      <c r="G264" s="1"/>
      <c r="H264"/>
      <c r="I264"/>
      <c r="J264"/>
      <c r="K264"/>
      <c r="L264"/>
      <c r="M264"/>
      <c r="N264"/>
      <c r="O264"/>
      <c r="P264"/>
      <c r="Q264"/>
      <c r="R264"/>
      <c r="S264"/>
      <c r="T264"/>
      <c r="U264"/>
      <c r="V264"/>
    </row>
    <row r="265" spans="1:22" x14ac:dyDescent="0.25">
      <c r="A265"/>
      <c r="B265"/>
      <c r="C265"/>
      <c r="D265"/>
      <c r="E265"/>
      <c r="F265" s="4"/>
      <c r="G265" s="1"/>
      <c r="H265"/>
      <c r="I265"/>
      <c r="J265"/>
      <c r="K265"/>
      <c r="L265"/>
      <c r="M265"/>
      <c r="N265"/>
      <c r="O265"/>
      <c r="P265"/>
      <c r="Q265"/>
      <c r="R265"/>
      <c r="S265"/>
      <c r="T265"/>
      <c r="U265"/>
      <c r="V265"/>
    </row>
    <row r="266" spans="1:22" x14ac:dyDescent="0.25">
      <c r="A266"/>
      <c r="B266"/>
      <c r="C266"/>
      <c r="D266"/>
      <c r="E266"/>
      <c r="F266" s="4"/>
      <c r="G266" s="1"/>
      <c r="H266"/>
      <c r="I266"/>
      <c r="J266"/>
      <c r="K266"/>
      <c r="L266"/>
      <c r="M266"/>
      <c r="N266"/>
      <c r="O266"/>
      <c r="P266"/>
      <c r="Q266"/>
      <c r="R266"/>
      <c r="S266"/>
      <c r="T266"/>
      <c r="U266"/>
      <c r="V266"/>
    </row>
    <row r="267" spans="1:22" x14ac:dyDescent="0.25">
      <c r="A267"/>
      <c r="B267"/>
      <c r="C267"/>
      <c r="D267"/>
      <c r="E267"/>
      <c r="F267" s="4"/>
      <c r="G267" s="1"/>
      <c r="H267"/>
      <c r="I267"/>
      <c r="J267"/>
      <c r="K267"/>
      <c r="L267"/>
      <c r="M267"/>
      <c r="N267"/>
      <c r="O267"/>
      <c r="P267"/>
      <c r="Q267"/>
      <c r="R267"/>
      <c r="S267"/>
      <c r="T267"/>
      <c r="U267"/>
      <c r="V267"/>
    </row>
    <row r="268" spans="1:22" x14ac:dyDescent="0.25">
      <c r="A268"/>
      <c r="B268"/>
      <c r="C268"/>
      <c r="D268"/>
      <c r="E268"/>
      <c r="F268" s="4"/>
      <c r="G268" s="1"/>
      <c r="H268"/>
      <c r="I268"/>
      <c r="J268"/>
      <c r="K268"/>
      <c r="L268"/>
      <c r="M268"/>
      <c r="N268"/>
      <c r="O268"/>
      <c r="P268"/>
      <c r="Q268"/>
      <c r="R268"/>
      <c r="S268"/>
      <c r="T268"/>
      <c r="U268"/>
      <c r="V268"/>
    </row>
    <row r="269" spans="1:22" x14ac:dyDescent="0.25">
      <c r="A269"/>
      <c r="B269"/>
      <c r="C269"/>
      <c r="D269"/>
      <c r="E269"/>
      <c r="F269" s="4"/>
      <c r="G269" s="1"/>
      <c r="H269"/>
      <c r="I269"/>
      <c r="J269"/>
      <c r="K269"/>
      <c r="L269"/>
      <c r="M269"/>
      <c r="N269"/>
      <c r="O269"/>
      <c r="P269"/>
      <c r="Q269"/>
      <c r="R269"/>
      <c r="S269"/>
      <c r="T269"/>
      <c r="U269"/>
      <c r="V269"/>
    </row>
    <row r="270" spans="1:22" x14ac:dyDescent="0.25">
      <c r="A270"/>
      <c r="B270"/>
      <c r="C270"/>
      <c r="D270"/>
      <c r="E270"/>
      <c r="F270" s="4"/>
      <c r="G270" s="1"/>
      <c r="H270"/>
      <c r="I270"/>
      <c r="J270"/>
      <c r="K270"/>
      <c r="L270"/>
      <c r="M270"/>
      <c r="N270"/>
      <c r="O270"/>
      <c r="P270"/>
      <c r="Q270"/>
      <c r="R270"/>
      <c r="S270"/>
      <c r="T270"/>
      <c r="U270"/>
      <c r="V270"/>
    </row>
    <row r="271" spans="1:22" x14ac:dyDescent="0.25">
      <c r="A271"/>
      <c r="B271"/>
      <c r="C271"/>
      <c r="D271"/>
      <c r="E271"/>
      <c r="F271" s="4"/>
      <c r="G271" s="1"/>
      <c r="H271"/>
      <c r="I271"/>
      <c r="J271"/>
      <c r="K271"/>
      <c r="L271"/>
      <c r="M271"/>
      <c r="N271"/>
      <c r="O271"/>
      <c r="P271"/>
      <c r="Q271"/>
      <c r="R271"/>
      <c r="S271"/>
      <c r="T271"/>
      <c r="U271"/>
      <c r="V271"/>
    </row>
    <row r="272" spans="1:22" x14ac:dyDescent="0.25">
      <c r="A272"/>
      <c r="B272"/>
      <c r="C272"/>
      <c r="D272"/>
      <c r="E272"/>
      <c r="F272" s="4"/>
      <c r="G272" s="1"/>
      <c r="H272"/>
      <c r="I272"/>
      <c r="J272"/>
      <c r="K272"/>
      <c r="L272"/>
      <c r="M272"/>
      <c r="N272"/>
      <c r="O272"/>
      <c r="P272"/>
      <c r="Q272"/>
      <c r="R272"/>
      <c r="S272"/>
      <c r="T272"/>
      <c r="U272"/>
      <c r="V272"/>
    </row>
    <row r="273" spans="1:22" x14ac:dyDescent="0.25">
      <c r="A273"/>
      <c r="B273"/>
      <c r="C273"/>
      <c r="D273"/>
      <c r="E273"/>
      <c r="F273" s="4"/>
      <c r="G273" s="1"/>
      <c r="H273"/>
      <c r="I273"/>
      <c r="J273"/>
      <c r="K273"/>
      <c r="L273"/>
      <c r="M273"/>
      <c r="N273"/>
      <c r="O273"/>
      <c r="P273"/>
      <c r="Q273"/>
      <c r="R273"/>
      <c r="S273"/>
      <c r="T273"/>
      <c r="U273"/>
      <c r="V273"/>
    </row>
    <row r="274" spans="1:22" x14ac:dyDescent="0.25">
      <c r="A274"/>
      <c r="B274"/>
      <c r="C274"/>
      <c r="D274"/>
      <c r="E274"/>
      <c r="F274" s="4"/>
      <c r="G274" s="1"/>
      <c r="H274"/>
      <c r="I274"/>
      <c r="J274"/>
      <c r="K274"/>
      <c r="L274"/>
      <c r="M274"/>
      <c r="N274"/>
      <c r="O274"/>
      <c r="P274"/>
      <c r="Q274"/>
      <c r="R274"/>
      <c r="S274"/>
      <c r="T274"/>
      <c r="U274"/>
      <c r="V274"/>
    </row>
    <row r="275" spans="1:22" x14ac:dyDescent="0.25">
      <c r="A275"/>
      <c r="B275"/>
      <c r="C275"/>
      <c r="D275"/>
      <c r="E275"/>
      <c r="F275" s="4"/>
      <c r="G275" s="1"/>
      <c r="H275"/>
      <c r="I275"/>
      <c r="J275"/>
      <c r="K275"/>
      <c r="L275"/>
      <c r="M275"/>
      <c r="N275"/>
      <c r="O275"/>
      <c r="P275"/>
      <c r="Q275"/>
      <c r="R275"/>
      <c r="S275"/>
      <c r="T275"/>
      <c r="U275"/>
      <c r="V275"/>
    </row>
    <row r="276" spans="1:22" x14ac:dyDescent="0.25">
      <c r="A276"/>
      <c r="B276"/>
      <c r="C276"/>
      <c r="D276"/>
      <c r="E276"/>
      <c r="F276" s="4"/>
      <c r="G276" s="1"/>
      <c r="H276"/>
      <c r="I276"/>
      <c r="J276"/>
      <c r="K276"/>
      <c r="L276"/>
      <c r="M276"/>
      <c r="N276"/>
      <c r="O276"/>
      <c r="P276"/>
      <c r="Q276"/>
      <c r="R276"/>
      <c r="S276"/>
      <c r="T276"/>
      <c r="U276"/>
      <c r="V276"/>
    </row>
    <row r="277" spans="1:22" x14ac:dyDescent="0.25">
      <c r="A277"/>
      <c r="B277"/>
      <c r="C277"/>
      <c r="D277"/>
      <c r="E277"/>
      <c r="F277" s="4"/>
      <c r="G277" s="1"/>
      <c r="H277"/>
      <c r="I277"/>
      <c r="J277"/>
      <c r="K277"/>
      <c r="L277"/>
      <c r="M277"/>
      <c r="N277"/>
      <c r="O277"/>
      <c r="P277"/>
      <c r="Q277"/>
      <c r="R277"/>
      <c r="S277"/>
      <c r="T277"/>
      <c r="U277"/>
      <c r="V277"/>
    </row>
    <row r="278" spans="1:22" x14ac:dyDescent="0.25">
      <c r="A278"/>
      <c r="B278"/>
      <c r="C278"/>
      <c r="D278"/>
      <c r="E278"/>
      <c r="F278" s="4"/>
      <c r="G278" s="1"/>
      <c r="H278"/>
      <c r="I278"/>
      <c r="J278"/>
      <c r="K278"/>
      <c r="L278"/>
      <c r="M278"/>
      <c r="N278"/>
      <c r="O278"/>
      <c r="P278"/>
      <c r="Q278"/>
      <c r="R278"/>
      <c r="S278"/>
      <c r="T278"/>
      <c r="U278"/>
      <c r="V278"/>
    </row>
    <row r="279" spans="1:22" x14ac:dyDescent="0.25">
      <c r="A279"/>
      <c r="B279"/>
      <c r="C279"/>
      <c r="D279"/>
      <c r="E279"/>
      <c r="F279" s="4"/>
      <c r="G279" s="1"/>
      <c r="H279"/>
      <c r="I279"/>
      <c r="J279"/>
      <c r="K279"/>
      <c r="L279"/>
      <c r="M279"/>
      <c r="N279"/>
      <c r="O279"/>
      <c r="P279"/>
      <c r="Q279"/>
      <c r="R279"/>
      <c r="S279"/>
      <c r="T279"/>
      <c r="U279"/>
      <c r="V279"/>
    </row>
    <row r="280" spans="1:22" x14ac:dyDescent="0.25">
      <c r="A280"/>
      <c r="B280"/>
      <c r="C280"/>
      <c r="D280"/>
      <c r="E280"/>
      <c r="F280" s="4"/>
      <c r="G280" s="1"/>
      <c r="H280"/>
      <c r="I280"/>
      <c r="J280"/>
      <c r="K280"/>
      <c r="L280"/>
      <c r="M280"/>
      <c r="N280"/>
      <c r="O280"/>
      <c r="P280"/>
      <c r="Q280"/>
      <c r="R280"/>
      <c r="S280"/>
      <c r="T280"/>
      <c r="U280"/>
      <c r="V280"/>
    </row>
    <row r="281" spans="1:22" x14ac:dyDescent="0.25">
      <c r="A281"/>
      <c r="B281"/>
      <c r="C281"/>
      <c r="D281"/>
      <c r="E281"/>
      <c r="F281" s="4"/>
      <c r="G281" s="1"/>
      <c r="H281"/>
      <c r="I281"/>
      <c r="J281"/>
      <c r="K281"/>
      <c r="L281"/>
      <c r="M281"/>
      <c r="N281"/>
      <c r="O281"/>
      <c r="P281"/>
      <c r="Q281"/>
      <c r="R281"/>
      <c r="S281"/>
      <c r="T281"/>
      <c r="U281"/>
      <c r="V281"/>
    </row>
    <row r="282" spans="1:22" x14ac:dyDescent="0.25">
      <c r="A282"/>
      <c r="B282"/>
      <c r="C282"/>
      <c r="D282"/>
      <c r="E282"/>
      <c r="F282" s="4"/>
      <c r="G282" s="1"/>
      <c r="H282"/>
      <c r="I282"/>
      <c r="J282"/>
      <c r="K282"/>
      <c r="L282"/>
      <c r="M282"/>
      <c r="N282"/>
      <c r="O282"/>
      <c r="P282"/>
      <c r="Q282"/>
      <c r="R282"/>
      <c r="S282"/>
      <c r="T282"/>
      <c r="U282"/>
      <c r="V282"/>
    </row>
    <row r="283" spans="1:22" x14ac:dyDescent="0.25">
      <c r="A283"/>
      <c r="B283"/>
      <c r="C283"/>
      <c r="D283"/>
      <c r="E283"/>
      <c r="F283" s="4"/>
      <c r="G283" s="1"/>
      <c r="H283"/>
      <c r="I283"/>
      <c r="J283"/>
      <c r="K283"/>
      <c r="L283"/>
      <c r="M283"/>
      <c r="N283"/>
      <c r="O283"/>
      <c r="P283"/>
      <c r="Q283"/>
      <c r="R283"/>
      <c r="S283"/>
      <c r="T283"/>
      <c r="U283"/>
      <c r="V283"/>
    </row>
  </sheetData>
  <pageMargins left="0.70866141732283472" right="0.70866141732283472" top="0.74803149606299213" bottom="0.74803149606299213" header="0.31496062992125984" footer="0.31496062992125984"/>
  <pageSetup scale="49" orientation="landscape" horizontalDpi="1200" verticalDpi="1200" r:id="rId2"/>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6999E-9CD5-45A6-A510-EA0C06ECFA85}">
  <dimension ref="A1:H47"/>
  <sheetViews>
    <sheetView view="pageBreakPreview" topLeftCell="A19" zoomScaleNormal="100" zoomScaleSheetLayoutView="100" workbookViewId="0">
      <selection activeCell="C5" sqref="C5"/>
    </sheetView>
  </sheetViews>
  <sheetFormatPr baseColWidth="10" defaultRowHeight="15" x14ac:dyDescent="0.25"/>
  <cols>
    <col min="1" max="1" width="21.5703125" customWidth="1"/>
    <col min="2" max="2" width="18.140625" style="8" customWidth="1"/>
    <col min="3" max="3" width="19.7109375" style="8" customWidth="1"/>
    <col min="4" max="4" width="17.28515625" style="8" customWidth="1"/>
    <col min="5" max="5" width="14.85546875" style="8" customWidth="1"/>
    <col min="6" max="6" width="75.28515625" style="4" customWidth="1"/>
    <col min="7" max="7" width="14" style="1" bestFit="1" customWidth="1"/>
  </cols>
  <sheetData>
    <row r="1" spans="1:8" ht="15.75" thickBot="1" x14ac:dyDescent="0.3">
      <c r="A1" s="532" t="s">
        <v>586</v>
      </c>
      <c r="B1" s="532"/>
      <c r="C1" s="532"/>
      <c r="D1" s="532"/>
      <c r="E1" s="532"/>
      <c r="F1" s="532"/>
      <c r="G1" s="532"/>
      <c r="H1" s="532"/>
    </row>
    <row r="2" spans="1:8" ht="57.75" customHeight="1" thickTop="1" thickBot="1" x14ac:dyDescent="0.3">
      <c r="A2" s="14" t="s">
        <v>39</v>
      </c>
      <c r="B2" s="15" t="s">
        <v>368</v>
      </c>
      <c r="C2" s="15" t="s">
        <v>115</v>
      </c>
      <c r="D2" s="15" t="s">
        <v>339</v>
      </c>
      <c r="E2" s="15" t="s">
        <v>2</v>
      </c>
      <c r="F2" s="15" t="s">
        <v>119</v>
      </c>
      <c r="G2" s="253" t="s">
        <v>120</v>
      </c>
      <c r="H2" s="16" t="s">
        <v>438</v>
      </c>
    </row>
    <row r="3" spans="1:8" ht="45.75" thickTop="1" x14ac:dyDescent="0.25">
      <c r="A3" s="537" t="s">
        <v>1</v>
      </c>
      <c r="B3" s="255" t="s">
        <v>369</v>
      </c>
      <c r="C3" s="8" t="s">
        <v>110</v>
      </c>
      <c r="D3" s="255" t="s">
        <v>295</v>
      </c>
      <c r="E3" s="8">
        <v>146</v>
      </c>
      <c r="F3" s="251" t="s">
        <v>388</v>
      </c>
      <c r="G3" s="6">
        <v>70000000</v>
      </c>
      <c r="H3" s="3">
        <v>1</v>
      </c>
    </row>
    <row r="4" spans="1:8" ht="60" x14ac:dyDescent="0.25">
      <c r="A4" s="538"/>
      <c r="B4" s="255" t="s">
        <v>369</v>
      </c>
      <c r="C4" s="8" t="s">
        <v>60</v>
      </c>
      <c r="D4" s="255" t="s">
        <v>389</v>
      </c>
      <c r="E4" s="8">
        <v>144</v>
      </c>
      <c r="F4" s="251" t="s">
        <v>390</v>
      </c>
      <c r="G4" s="6">
        <v>55000000</v>
      </c>
      <c r="H4" s="3">
        <v>1</v>
      </c>
    </row>
    <row r="5" spans="1:8" ht="45" x14ac:dyDescent="0.25">
      <c r="A5" s="538"/>
      <c r="B5" s="255" t="s">
        <v>369</v>
      </c>
      <c r="C5" s="8" t="s">
        <v>60</v>
      </c>
      <c r="D5" s="255" t="s">
        <v>133</v>
      </c>
      <c r="E5" s="8">
        <v>150</v>
      </c>
      <c r="F5" s="251" t="s">
        <v>391</v>
      </c>
      <c r="G5" s="6">
        <v>26000000</v>
      </c>
      <c r="H5" s="3">
        <v>1</v>
      </c>
    </row>
    <row r="6" spans="1:8" ht="30" x14ac:dyDescent="0.25">
      <c r="A6" s="538"/>
      <c r="B6" s="255" t="s">
        <v>369</v>
      </c>
      <c r="C6" s="8" t="s">
        <v>60</v>
      </c>
      <c r="D6" s="255" t="s">
        <v>133</v>
      </c>
      <c r="E6" s="8">
        <v>171</v>
      </c>
      <c r="F6" s="251" t="s">
        <v>394</v>
      </c>
      <c r="G6" s="6">
        <v>26000000</v>
      </c>
      <c r="H6" s="3">
        <v>1</v>
      </c>
    </row>
    <row r="7" spans="1:8" ht="30" x14ac:dyDescent="0.25">
      <c r="A7" s="538"/>
      <c r="B7" s="255" t="s">
        <v>369</v>
      </c>
      <c r="C7" s="8" t="s">
        <v>60</v>
      </c>
      <c r="D7" s="255" t="s">
        <v>133</v>
      </c>
      <c r="E7" s="8">
        <v>172</v>
      </c>
      <c r="F7" s="251" t="s">
        <v>395</v>
      </c>
      <c r="G7" s="6">
        <v>26000000</v>
      </c>
      <c r="H7" s="3">
        <v>1</v>
      </c>
    </row>
    <row r="8" spans="1:8" ht="45" x14ac:dyDescent="0.25">
      <c r="A8" s="538"/>
      <c r="B8" s="255" t="s">
        <v>370</v>
      </c>
      <c r="C8" s="8" t="s">
        <v>60</v>
      </c>
      <c r="D8" s="255" t="s">
        <v>393</v>
      </c>
      <c r="E8" s="8">
        <v>151</v>
      </c>
      <c r="F8" s="251" t="s">
        <v>392</v>
      </c>
      <c r="G8" s="6">
        <v>10000000</v>
      </c>
      <c r="H8" s="3">
        <v>1</v>
      </c>
    </row>
    <row r="9" spans="1:8" ht="30" x14ac:dyDescent="0.25">
      <c r="A9" s="535"/>
      <c r="B9" s="255" t="s">
        <v>423</v>
      </c>
      <c r="C9" s="8" t="s">
        <v>320</v>
      </c>
      <c r="D9" s="255" t="s">
        <v>308</v>
      </c>
      <c r="E9" s="8">
        <v>145</v>
      </c>
      <c r="F9" s="251" t="s">
        <v>321</v>
      </c>
      <c r="G9" s="6">
        <v>0</v>
      </c>
      <c r="H9" s="3">
        <v>1</v>
      </c>
    </row>
    <row r="10" spans="1:8" s="18" customFormat="1" ht="21.75" thickBot="1" x14ac:dyDescent="0.4">
      <c r="A10" s="527" t="s">
        <v>431</v>
      </c>
      <c r="B10" s="528"/>
      <c r="C10" s="528"/>
      <c r="D10" s="528"/>
      <c r="E10" s="528"/>
      <c r="F10" s="529"/>
      <c r="G10" s="530"/>
      <c r="H10" s="531">
        <v>7</v>
      </c>
    </row>
    <row r="11" spans="1:8" ht="60.75" thickTop="1" x14ac:dyDescent="0.25">
      <c r="A11" s="536" t="s">
        <v>5</v>
      </c>
      <c r="B11" s="255" t="s">
        <v>369</v>
      </c>
      <c r="C11" s="8" t="s">
        <v>60</v>
      </c>
      <c r="D11" s="255" t="s">
        <v>389</v>
      </c>
      <c r="E11" s="8">
        <v>170</v>
      </c>
      <c r="F11" s="251" t="s">
        <v>390</v>
      </c>
      <c r="G11" s="1">
        <v>98000000</v>
      </c>
      <c r="H11" s="3">
        <v>1</v>
      </c>
    </row>
    <row r="12" spans="1:8" ht="45" x14ac:dyDescent="0.25">
      <c r="A12" s="538"/>
      <c r="B12" s="255" t="s">
        <v>369</v>
      </c>
      <c r="C12" s="8" t="s">
        <v>60</v>
      </c>
      <c r="D12" s="255" t="s">
        <v>133</v>
      </c>
      <c r="E12" s="8">
        <v>46</v>
      </c>
      <c r="F12" s="251" t="s">
        <v>460</v>
      </c>
      <c r="G12" s="1">
        <v>21000000</v>
      </c>
      <c r="H12" s="3">
        <v>1</v>
      </c>
    </row>
    <row r="13" spans="1:8" ht="30" x14ac:dyDescent="0.25">
      <c r="A13" s="538"/>
      <c r="B13" s="255" t="s">
        <v>369</v>
      </c>
      <c r="C13" s="8" t="s">
        <v>60</v>
      </c>
      <c r="D13" s="255" t="s">
        <v>133</v>
      </c>
      <c r="E13" s="8">
        <v>52</v>
      </c>
      <c r="F13" s="251" t="s">
        <v>382</v>
      </c>
      <c r="G13" s="1">
        <v>8000000</v>
      </c>
      <c r="H13" s="3">
        <v>1</v>
      </c>
    </row>
    <row r="14" spans="1:8" ht="60" x14ac:dyDescent="0.25">
      <c r="A14" s="538"/>
      <c r="B14" s="255" t="s">
        <v>369</v>
      </c>
      <c r="C14" s="8" t="s">
        <v>60</v>
      </c>
      <c r="D14" s="255" t="s">
        <v>133</v>
      </c>
      <c r="E14" s="8">
        <v>88</v>
      </c>
      <c r="F14" s="251" t="s">
        <v>143</v>
      </c>
      <c r="G14" s="1">
        <v>32800000</v>
      </c>
      <c r="H14" s="3">
        <v>1</v>
      </c>
    </row>
    <row r="15" spans="1:8" ht="30" x14ac:dyDescent="0.25">
      <c r="A15" s="538"/>
      <c r="B15" s="255" t="s">
        <v>369</v>
      </c>
      <c r="C15" s="8" t="s">
        <v>60</v>
      </c>
      <c r="D15" s="255" t="s">
        <v>133</v>
      </c>
      <c r="E15" s="8">
        <v>163</v>
      </c>
      <c r="F15" s="251" t="s">
        <v>282</v>
      </c>
      <c r="G15" s="1">
        <v>15000000</v>
      </c>
      <c r="H15" s="3">
        <v>1</v>
      </c>
    </row>
    <row r="16" spans="1:8" ht="45" x14ac:dyDescent="0.25">
      <c r="A16" s="538"/>
      <c r="B16" s="255" t="s">
        <v>369</v>
      </c>
      <c r="C16" s="8" t="s">
        <v>60</v>
      </c>
      <c r="D16" s="255" t="s">
        <v>308</v>
      </c>
      <c r="E16" s="8">
        <v>176</v>
      </c>
      <c r="F16" s="251" t="s">
        <v>399</v>
      </c>
      <c r="G16" s="1">
        <v>32000000</v>
      </c>
      <c r="H16" s="3">
        <v>1</v>
      </c>
    </row>
    <row r="17" spans="1:8" ht="45" x14ac:dyDescent="0.25">
      <c r="A17" s="538"/>
      <c r="B17" s="255" t="s">
        <v>369</v>
      </c>
      <c r="C17" s="8" t="s">
        <v>60</v>
      </c>
      <c r="D17" s="255" t="s">
        <v>308</v>
      </c>
      <c r="E17" s="8">
        <v>177</v>
      </c>
      <c r="F17" s="251" t="s">
        <v>386</v>
      </c>
      <c r="G17" s="1">
        <v>5433800</v>
      </c>
      <c r="H17" s="3">
        <v>1</v>
      </c>
    </row>
    <row r="18" spans="1:8" ht="45" x14ac:dyDescent="0.25">
      <c r="A18" s="538"/>
      <c r="B18" s="255" t="s">
        <v>369</v>
      </c>
      <c r="C18" s="8" t="s">
        <v>60</v>
      </c>
      <c r="D18" s="255" t="s">
        <v>308</v>
      </c>
      <c r="E18" s="8">
        <v>178</v>
      </c>
      <c r="F18" s="251" t="s">
        <v>385</v>
      </c>
      <c r="G18" s="1">
        <v>7973000</v>
      </c>
      <c r="H18" s="3">
        <v>1</v>
      </c>
    </row>
    <row r="19" spans="1:8" ht="75" x14ac:dyDescent="0.25">
      <c r="A19" s="538"/>
      <c r="B19" s="255" t="s">
        <v>369</v>
      </c>
      <c r="C19" s="8" t="s">
        <v>70</v>
      </c>
      <c r="D19" s="255" t="s">
        <v>308</v>
      </c>
      <c r="E19" s="8">
        <v>49</v>
      </c>
      <c r="F19" s="251" t="s">
        <v>276</v>
      </c>
      <c r="G19" s="1">
        <v>10950000</v>
      </c>
      <c r="H19" s="3">
        <v>1</v>
      </c>
    </row>
    <row r="20" spans="1:8" ht="60" x14ac:dyDescent="0.25">
      <c r="A20" s="538"/>
      <c r="B20" s="255" t="s">
        <v>369</v>
      </c>
      <c r="C20" s="8" t="s">
        <v>113</v>
      </c>
      <c r="D20" s="255" t="s">
        <v>308</v>
      </c>
      <c r="E20" s="8">
        <v>54</v>
      </c>
      <c r="F20" s="251" t="s">
        <v>379</v>
      </c>
      <c r="G20" s="1">
        <v>50000000</v>
      </c>
      <c r="H20" s="3">
        <v>1</v>
      </c>
    </row>
    <row r="21" spans="1:8" ht="45" x14ac:dyDescent="0.25">
      <c r="A21" s="538"/>
      <c r="B21" s="255" t="s">
        <v>374</v>
      </c>
      <c r="C21" s="8" t="s">
        <v>60</v>
      </c>
      <c r="D21" s="255" t="s">
        <v>308</v>
      </c>
      <c r="E21" s="8">
        <v>175</v>
      </c>
      <c r="F21" s="251" t="s">
        <v>398</v>
      </c>
      <c r="G21" s="1">
        <v>60000000</v>
      </c>
      <c r="H21" s="3">
        <v>1</v>
      </c>
    </row>
    <row r="22" spans="1:8" ht="30" x14ac:dyDescent="0.25">
      <c r="A22" s="538"/>
      <c r="B22" s="255" t="s">
        <v>374</v>
      </c>
      <c r="C22" s="8" t="s">
        <v>113</v>
      </c>
      <c r="D22" s="255" t="s">
        <v>389</v>
      </c>
      <c r="E22" s="8">
        <v>58</v>
      </c>
      <c r="F22" s="251" t="s">
        <v>71</v>
      </c>
      <c r="G22" s="1">
        <v>80000000</v>
      </c>
      <c r="H22" s="3">
        <v>1</v>
      </c>
    </row>
    <row r="23" spans="1:8" ht="45" x14ac:dyDescent="0.25">
      <c r="A23" s="538"/>
      <c r="B23" s="255" t="s">
        <v>593</v>
      </c>
      <c r="C23" s="8" t="s">
        <v>113</v>
      </c>
      <c r="D23" s="255" t="s">
        <v>389</v>
      </c>
      <c r="E23" s="8">
        <v>174</v>
      </c>
      <c r="F23" s="251" t="s">
        <v>458</v>
      </c>
      <c r="G23" s="1">
        <v>110000000</v>
      </c>
      <c r="H23" s="3">
        <v>1</v>
      </c>
    </row>
    <row r="24" spans="1:8" ht="30" x14ac:dyDescent="0.25">
      <c r="A24" s="538"/>
      <c r="B24" s="255" t="s">
        <v>423</v>
      </c>
      <c r="C24" s="8" t="s">
        <v>60</v>
      </c>
      <c r="D24" s="255" t="s">
        <v>133</v>
      </c>
      <c r="E24" s="8">
        <v>158</v>
      </c>
      <c r="F24" s="251" t="s">
        <v>277</v>
      </c>
      <c r="G24" s="1">
        <v>0</v>
      </c>
      <c r="H24" s="3">
        <v>1</v>
      </c>
    </row>
    <row r="25" spans="1:8" ht="30" x14ac:dyDescent="0.25">
      <c r="A25" s="539"/>
      <c r="B25" s="255" t="s">
        <v>584</v>
      </c>
      <c r="C25" s="8" t="s">
        <v>113</v>
      </c>
      <c r="D25" s="255" t="s">
        <v>308</v>
      </c>
      <c r="E25" s="8">
        <v>57</v>
      </c>
      <c r="F25" s="251" t="s">
        <v>69</v>
      </c>
      <c r="G25" s="1">
        <v>12000000</v>
      </c>
      <c r="H25" s="3">
        <v>1</v>
      </c>
    </row>
    <row r="26" spans="1:8" s="18" customFormat="1" ht="21.75" thickBot="1" x14ac:dyDescent="0.4">
      <c r="A26" s="527" t="s">
        <v>432</v>
      </c>
      <c r="B26" s="528"/>
      <c r="C26" s="528"/>
      <c r="D26" s="528"/>
      <c r="E26" s="528"/>
      <c r="F26" s="529"/>
      <c r="G26" s="530"/>
      <c r="H26" s="531">
        <v>15</v>
      </c>
    </row>
    <row r="27" spans="1:8" ht="30.75" thickTop="1" x14ac:dyDescent="0.25">
      <c r="A27" s="536" t="s">
        <v>36</v>
      </c>
      <c r="B27" s="255" t="s">
        <v>369</v>
      </c>
      <c r="C27" s="8" t="s">
        <v>60</v>
      </c>
      <c r="D27" s="255" t="s">
        <v>133</v>
      </c>
      <c r="E27" s="8">
        <v>67</v>
      </c>
      <c r="F27" s="251" t="s">
        <v>77</v>
      </c>
      <c r="G27" s="1">
        <v>13600000</v>
      </c>
      <c r="H27" s="3">
        <v>1</v>
      </c>
    </row>
    <row r="28" spans="1:8" ht="45" x14ac:dyDescent="0.25">
      <c r="A28" s="534"/>
      <c r="B28" s="255" t="s">
        <v>369</v>
      </c>
      <c r="C28" s="8" t="s">
        <v>60</v>
      </c>
      <c r="D28" s="255" t="s">
        <v>133</v>
      </c>
      <c r="E28" s="8">
        <v>180</v>
      </c>
      <c r="F28" s="251" t="s">
        <v>459</v>
      </c>
      <c r="G28" s="1">
        <v>25000000</v>
      </c>
      <c r="H28" s="3">
        <v>1</v>
      </c>
    </row>
    <row r="29" spans="1:8" ht="30" x14ac:dyDescent="0.25">
      <c r="A29" s="534"/>
      <c r="B29" s="255" t="s">
        <v>369</v>
      </c>
      <c r="C29" s="8" t="s">
        <v>60</v>
      </c>
      <c r="D29" s="255" t="s">
        <v>308</v>
      </c>
      <c r="E29" s="8">
        <v>77</v>
      </c>
      <c r="F29" s="251" t="s">
        <v>88</v>
      </c>
      <c r="G29" s="1">
        <v>1200000</v>
      </c>
      <c r="H29" s="3">
        <v>1</v>
      </c>
    </row>
    <row r="30" spans="1:8" ht="90" x14ac:dyDescent="0.25">
      <c r="A30" s="535"/>
      <c r="B30" s="255" t="s">
        <v>369</v>
      </c>
      <c r="C30" s="8" t="s">
        <v>112</v>
      </c>
      <c r="D30" s="255" t="s">
        <v>308</v>
      </c>
      <c r="E30" s="8">
        <v>76</v>
      </c>
      <c r="F30" s="251" t="s">
        <v>383</v>
      </c>
      <c r="G30" s="1">
        <v>93472</v>
      </c>
      <c r="H30" s="3">
        <v>1</v>
      </c>
    </row>
    <row r="31" spans="1:8" s="18" customFormat="1" ht="21.75" thickBot="1" x14ac:dyDescent="0.4">
      <c r="A31" s="527" t="s">
        <v>433</v>
      </c>
      <c r="B31" s="528"/>
      <c r="C31" s="528"/>
      <c r="D31" s="528"/>
      <c r="E31" s="528"/>
      <c r="F31" s="529"/>
      <c r="G31" s="530"/>
      <c r="H31" s="531">
        <v>4</v>
      </c>
    </row>
    <row r="32" spans="1:8" ht="30.75" thickTop="1" x14ac:dyDescent="0.25">
      <c r="A32" s="536" t="s">
        <v>0</v>
      </c>
      <c r="B32" s="255" t="s">
        <v>369</v>
      </c>
      <c r="C32" s="8" t="s">
        <v>60</v>
      </c>
      <c r="D32" s="255" t="s">
        <v>133</v>
      </c>
      <c r="E32" s="8">
        <v>34</v>
      </c>
      <c r="F32" s="251" t="s">
        <v>330</v>
      </c>
      <c r="G32" s="1">
        <v>10800000</v>
      </c>
      <c r="H32" s="3">
        <v>1</v>
      </c>
    </row>
    <row r="33" spans="1:8" ht="45" x14ac:dyDescent="0.25">
      <c r="A33" s="535"/>
      <c r="B33" s="255" t="s">
        <v>369</v>
      </c>
      <c r="C33" s="8" t="s">
        <v>60</v>
      </c>
      <c r="D33" s="255" t="s">
        <v>133</v>
      </c>
      <c r="E33" s="8">
        <v>109</v>
      </c>
      <c r="F33" s="251" t="s">
        <v>333</v>
      </c>
      <c r="G33" s="1">
        <v>22000000</v>
      </c>
      <c r="H33" s="3">
        <v>1</v>
      </c>
    </row>
    <row r="34" spans="1:8" s="18" customFormat="1" ht="21.75" thickBot="1" x14ac:dyDescent="0.4">
      <c r="A34" s="527" t="s">
        <v>434</v>
      </c>
      <c r="B34" s="528"/>
      <c r="C34" s="528"/>
      <c r="D34" s="528"/>
      <c r="E34" s="528"/>
      <c r="F34" s="529"/>
      <c r="G34" s="530"/>
      <c r="H34" s="531">
        <v>2</v>
      </c>
    </row>
    <row r="35" spans="1:8" ht="45.75" thickTop="1" x14ac:dyDescent="0.25">
      <c r="A35" s="257" t="s">
        <v>4</v>
      </c>
      <c r="B35" s="255" t="s">
        <v>369</v>
      </c>
      <c r="C35" s="8" t="s">
        <v>60</v>
      </c>
      <c r="D35" s="255" t="s">
        <v>133</v>
      </c>
      <c r="E35" s="8">
        <v>142</v>
      </c>
      <c r="F35" s="251" t="s">
        <v>314</v>
      </c>
      <c r="G35" s="1">
        <v>28000000</v>
      </c>
      <c r="H35" s="3">
        <v>1</v>
      </c>
    </row>
    <row r="36" spans="1:8" s="18" customFormat="1" ht="21.75" thickBot="1" x14ac:dyDescent="0.4">
      <c r="A36" s="527" t="s">
        <v>435</v>
      </c>
      <c r="B36" s="528"/>
      <c r="C36" s="528"/>
      <c r="D36" s="528"/>
      <c r="E36" s="528"/>
      <c r="F36" s="529"/>
      <c r="G36" s="530"/>
      <c r="H36" s="531">
        <v>1</v>
      </c>
    </row>
    <row r="37" spans="1:8" ht="45.75" thickTop="1" x14ac:dyDescent="0.25">
      <c r="A37" s="533" t="s">
        <v>3</v>
      </c>
      <c r="B37" s="255" t="s">
        <v>369</v>
      </c>
      <c r="C37" s="8" t="s">
        <v>60</v>
      </c>
      <c r="D37" s="255" t="s">
        <v>299</v>
      </c>
      <c r="E37" s="8">
        <v>13</v>
      </c>
      <c r="F37" s="251" t="s">
        <v>404</v>
      </c>
      <c r="G37" s="1">
        <v>350000000</v>
      </c>
      <c r="H37" s="3">
        <v>1</v>
      </c>
    </row>
    <row r="38" spans="1:8" ht="45" x14ac:dyDescent="0.25">
      <c r="A38" s="534"/>
      <c r="B38" s="255" t="s">
        <v>369</v>
      </c>
      <c r="C38" s="8" t="s">
        <v>60</v>
      </c>
      <c r="D38" s="255" t="s">
        <v>133</v>
      </c>
      <c r="E38" s="8">
        <v>134</v>
      </c>
      <c r="F38" s="251" t="s">
        <v>355</v>
      </c>
      <c r="G38" s="1">
        <v>27500000</v>
      </c>
      <c r="H38" s="3">
        <v>1</v>
      </c>
    </row>
    <row r="39" spans="1:8" ht="45" x14ac:dyDescent="0.25">
      <c r="A39" s="534"/>
      <c r="B39" s="255" t="s">
        <v>369</v>
      </c>
      <c r="C39" s="8" t="s">
        <v>60</v>
      </c>
      <c r="D39" s="255" t="s">
        <v>133</v>
      </c>
      <c r="E39" s="8">
        <v>137</v>
      </c>
      <c r="F39" s="251" t="s">
        <v>453</v>
      </c>
      <c r="G39" s="1">
        <v>15000000</v>
      </c>
      <c r="H39" s="3">
        <v>1</v>
      </c>
    </row>
    <row r="40" spans="1:8" ht="45" x14ac:dyDescent="0.25">
      <c r="A40" s="535"/>
      <c r="B40" s="255" t="s">
        <v>584</v>
      </c>
      <c r="C40" s="8" t="s">
        <v>110</v>
      </c>
      <c r="D40" s="255" t="s">
        <v>295</v>
      </c>
      <c r="E40" s="8">
        <v>141</v>
      </c>
      <c r="F40" s="251" t="s">
        <v>309</v>
      </c>
      <c r="G40" s="1">
        <v>456572072</v>
      </c>
      <c r="H40" s="3">
        <v>1</v>
      </c>
    </row>
    <row r="41" spans="1:8" s="18" customFormat="1" ht="21.75" thickBot="1" x14ac:dyDescent="0.4">
      <c r="A41" s="527" t="s">
        <v>436</v>
      </c>
      <c r="B41" s="528"/>
      <c r="C41" s="528"/>
      <c r="D41" s="528"/>
      <c r="E41" s="528"/>
      <c r="F41" s="529"/>
      <c r="G41" s="530"/>
      <c r="H41" s="531">
        <v>4</v>
      </c>
    </row>
    <row r="42" spans="1:8" ht="45.75" thickTop="1" x14ac:dyDescent="0.25">
      <c r="A42" s="536" t="s">
        <v>19</v>
      </c>
      <c r="B42" s="255" t="s">
        <v>369</v>
      </c>
      <c r="C42" s="8" t="s">
        <v>60</v>
      </c>
      <c r="D42" s="255" t="s">
        <v>133</v>
      </c>
      <c r="E42" s="8">
        <v>126</v>
      </c>
      <c r="F42" s="251" t="s">
        <v>290</v>
      </c>
      <c r="G42" s="1">
        <v>27500000</v>
      </c>
      <c r="H42" s="3">
        <v>1</v>
      </c>
    </row>
    <row r="43" spans="1:8" ht="30" x14ac:dyDescent="0.25">
      <c r="A43" s="534"/>
      <c r="B43" s="255" t="s">
        <v>369</v>
      </c>
      <c r="C43" s="8" t="s">
        <v>60</v>
      </c>
      <c r="D43" s="255" t="s">
        <v>133</v>
      </c>
      <c r="E43" s="8">
        <v>131</v>
      </c>
      <c r="F43" s="251" t="s">
        <v>445</v>
      </c>
      <c r="G43" s="1">
        <v>27500000</v>
      </c>
      <c r="H43" s="3">
        <v>1</v>
      </c>
    </row>
    <row r="44" spans="1:8" ht="105" x14ac:dyDescent="0.25">
      <c r="A44" s="534"/>
      <c r="B44" s="255" t="s">
        <v>370</v>
      </c>
      <c r="C44" s="8" t="s">
        <v>60</v>
      </c>
      <c r="D44" s="255" t="s">
        <v>291</v>
      </c>
      <c r="E44" s="8">
        <v>128</v>
      </c>
      <c r="F44" s="251" t="s">
        <v>536</v>
      </c>
      <c r="G44" s="1">
        <v>100000000</v>
      </c>
      <c r="H44" s="3">
        <v>1</v>
      </c>
    </row>
    <row r="45" spans="1:8" ht="30" x14ac:dyDescent="0.25">
      <c r="A45" s="535"/>
      <c r="B45" s="255" t="s">
        <v>584</v>
      </c>
      <c r="C45" s="8" t="s">
        <v>319</v>
      </c>
      <c r="D45" s="255" t="s">
        <v>308</v>
      </c>
      <c r="E45" s="8">
        <v>132</v>
      </c>
      <c r="F45" s="251" t="s">
        <v>354</v>
      </c>
      <c r="G45" s="1">
        <v>250000000</v>
      </c>
      <c r="H45" s="3">
        <v>1</v>
      </c>
    </row>
    <row r="46" spans="1:8" s="18" customFormat="1" ht="21.75" thickBot="1" x14ac:dyDescent="0.4">
      <c r="A46" s="527" t="s">
        <v>437</v>
      </c>
      <c r="B46" s="528"/>
      <c r="C46" s="528"/>
      <c r="D46" s="528"/>
      <c r="E46" s="528"/>
      <c r="F46" s="529"/>
      <c r="G46" s="530"/>
      <c r="H46" s="531">
        <v>4</v>
      </c>
    </row>
    <row r="47" spans="1:8" ht="15.75" thickTop="1" x14ac:dyDescent="0.25">
      <c r="A47" s="249" t="s">
        <v>364</v>
      </c>
      <c r="B47" s="256"/>
      <c r="C47" s="256"/>
      <c r="D47" s="256"/>
      <c r="E47" s="256"/>
      <c r="F47" s="249"/>
      <c r="G47" s="254"/>
      <c r="H47" s="250">
        <v>37</v>
      </c>
    </row>
  </sheetData>
  <mergeCells count="21">
    <mergeCell ref="A10:E10"/>
    <mergeCell ref="F10:H10"/>
    <mergeCell ref="A26:E26"/>
    <mergeCell ref="F26:H26"/>
    <mergeCell ref="A11:A25"/>
    <mergeCell ref="A46:E46"/>
    <mergeCell ref="F46:H46"/>
    <mergeCell ref="A1:H1"/>
    <mergeCell ref="A37:A40"/>
    <mergeCell ref="A36:E36"/>
    <mergeCell ref="F36:H36"/>
    <mergeCell ref="A41:E41"/>
    <mergeCell ref="F41:H41"/>
    <mergeCell ref="A42:A45"/>
    <mergeCell ref="A27:A30"/>
    <mergeCell ref="A31:E31"/>
    <mergeCell ref="F31:H31"/>
    <mergeCell ref="A32:A33"/>
    <mergeCell ref="A34:E34"/>
    <mergeCell ref="F34:H34"/>
    <mergeCell ref="A3:A9"/>
  </mergeCells>
  <pageMargins left="0.70866141732283472" right="0.70866141732283472" top="0.74803149606299213" bottom="0.74803149606299213" header="0.31496062992125984" footer="0.31496062992125984"/>
  <pageSetup scale="64" orientation="landscape" horizontalDpi="1200" verticalDpi="1200" r:id="rId1"/>
  <rowBreaks count="2" manualBreakCount="2">
    <brk id="18" max="16383" man="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LISTAS</vt:lpstr>
      <vt:lpstr>PLAN CONTRATACIÓN 2017</vt:lpstr>
      <vt:lpstr>Hoja1</vt:lpstr>
      <vt:lpstr>Hoja2 (2)</vt:lpstr>
      <vt:lpstr>Hoja2 (3)</vt:lpstr>
      <vt:lpstr>COMUNICACION</vt:lpstr>
      <vt:lpstr>Hoja5</vt:lpstr>
      <vt:lpstr>Hoja2</vt:lpstr>
      <vt:lpstr>agosto al 26 de oct</vt:lpstr>
      <vt:lpstr>Sept al 26 de oct</vt:lpstr>
      <vt:lpstr>Oct al 26 de oct</vt:lpstr>
      <vt:lpstr>Sept al 7 de nov</vt:lpstr>
      <vt:lpstr>Octubre al 7 Nov</vt:lpstr>
      <vt:lpstr>Nov al 7 Nov</vt:lpstr>
      <vt:lpstr>Sept al 15 de nov</vt:lpstr>
      <vt:lpstr>Octubre a 15 de Nov</vt:lpstr>
      <vt:lpstr>Nov al 15 de nov</vt:lpstr>
      <vt:lpstr>Hoja1!Área_de_impresión</vt:lpstr>
      <vt:lpstr>Hoja5!Área_de_impresión</vt:lpstr>
      <vt:lpstr>'PLAN CONTRATACIÓN 2017'!Área_de_impresión</vt:lpstr>
      <vt:lpstr>'Sept al 26 de oct'!Área_de_impresión</vt:lpstr>
      <vt:lpstr>'agosto al 26 de oct'!Títulos_a_imprimir</vt:lpstr>
      <vt:lpstr>Hoja1!Títulos_a_imprimir</vt:lpstr>
      <vt:lpstr>'Oct al 26 de oct'!Títulos_a_imprimir</vt:lpstr>
      <vt:lpstr>'PLAN CONTRATACIÓN 2017'!Títulos_a_imprimir</vt:lpstr>
      <vt:lpstr>'Sept al 26 de oct'!Títulos_a_imprimir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PRINCIPAL</dc:creator>
  <cp:lastModifiedBy>Natalia Naranjo Rojas</cp:lastModifiedBy>
  <cp:lastPrinted>2017-12-13T14:43:46Z</cp:lastPrinted>
  <dcterms:created xsi:type="dcterms:W3CDTF">2016-02-03T17:00:59Z</dcterms:created>
  <dcterms:modified xsi:type="dcterms:W3CDTF">2018-01-09T21:07:34Z</dcterms:modified>
</cp:coreProperties>
</file>