
<file path=[Content_Types].xml><?xml version="1.0" encoding="utf-8"?>
<Types xmlns="http://schemas.openxmlformats.org/package/2006/content-types"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LGUILLERMO\RAPE 5\CONTRACTUAL\OBLIGACIONES ESPECIFICAS\PROYECTOS EJE GOBERNANZA\SHARE POINT\TOLIMA\"/>
    </mc:Choice>
  </mc:AlternateContent>
  <xr:revisionPtr revIDLastSave="0" documentId="8_{FCD93CEB-BA38-498A-B51F-12C4DB2AC440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Estructura Básica PPI" sheetId="2" r:id="rId1"/>
    <sheet name="INV. POR FUENTES" sheetId="4" r:id="rId2"/>
    <sheet name="INV. POR POLITICAS" sheetId="5" r:id="rId3"/>
    <sheet name="Hoja1" sheetId="3" r:id="rId4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5" i="2" l="1"/>
  <c r="E23" i="2"/>
  <c r="E13" i="2"/>
  <c r="E12" i="2"/>
  <c r="E11" i="2"/>
  <c r="E45" i="2"/>
  <c r="E35" i="2"/>
  <c r="E24" i="2"/>
  <c r="E34" i="2" l="1"/>
  <c r="E26" i="2"/>
  <c r="E15" i="2"/>
  <c r="B22" i="5"/>
  <c r="B17" i="5"/>
  <c r="B15" i="5"/>
  <c r="B13" i="5"/>
  <c r="B12" i="5"/>
  <c r="Z35" i="2"/>
  <c r="Z26" i="2"/>
  <c r="H15" i="5" s="1"/>
  <c r="S35" i="2"/>
  <c r="S26" i="2"/>
  <c r="L26" i="2"/>
  <c r="D15" i="5" s="1"/>
  <c r="L35" i="2"/>
  <c r="Z45" i="2"/>
  <c r="H22" i="5" s="1"/>
  <c r="S45" i="2"/>
  <c r="F22" i="5" s="1"/>
  <c r="L45" i="2"/>
  <c r="D22" i="5" s="1"/>
  <c r="AA25" i="2"/>
  <c r="T25" i="2"/>
  <c r="M25" i="2"/>
  <c r="F25" i="2"/>
  <c r="B14" i="5" s="1"/>
  <c r="AA46" i="2"/>
  <c r="T46" i="2"/>
  <c r="M46" i="2"/>
  <c r="F46" i="2"/>
  <c r="E44" i="2"/>
  <c r="B21" i="5" s="1"/>
  <c r="L12" i="2"/>
  <c r="B10" i="5"/>
  <c r="Z12" i="2"/>
  <c r="Z11" i="2"/>
  <c r="Z23" i="2"/>
  <c r="H12" i="5" s="1"/>
  <c r="Z24" i="2"/>
  <c r="H13" i="5" s="1"/>
  <c r="Z34" i="2"/>
  <c r="H17" i="5" s="1"/>
  <c r="Z15" i="2"/>
  <c r="H10" i="5" s="1"/>
  <c r="Z13" i="2"/>
  <c r="Z25" i="2"/>
  <c r="H14" i="5" s="1"/>
  <c r="S11" i="2"/>
  <c r="S23" i="2"/>
  <c r="F12" i="5" s="1"/>
  <c r="S24" i="2"/>
  <c r="F13" i="5" s="1"/>
  <c r="S34" i="2"/>
  <c r="F17" i="5" s="1"/>
  <c r="S15" i="2"/>
  <c r="F10" i="5" s="1"/>
  <c r="S13" i="2"/>
  <c r="S12" i="2"/>
  <c r="S25" i="2"/>
  <c r="T51" i="2"/>
  <c r="L11" i="2"/>
  <c r="L23" i="2"/>
  <c r="D12" i="5" s="1"/>
  <c r="L24" i="2"/>
  <c r="D13" i="5" s="1"/>
  <c r="L34" i="2"/>
  <c r="F15" i="5" l="1"/>
  <c r="D17" i="5"/>
  <c r="L15" i="2"/>
  <c r="D10" i="5" s="1"/>
  <c r="J10" i="5" s="1"/>
  <c r="L13" i="2"/>
  <c r="L25" i="2"/>
  <c r="J22" i="5" l="1"/>
  <c r="J17" i="5"/>
  <c r="H11" i="5"/>
  <c r="B11" i="5"/>
  <c r="J13" i="5"/>
  <c r="J15" i="5"/>
  <c r="J12" i="5"/>
  <c r="B15" i="4" l="1"/>
  <c r="B13" i="4"/>
  <c r="B9" i="4"/>
  <c r="B6" i="4"/>
  <c r="V54" i="2" l="1"/>
  <c r="V53" i="2"/>
  <c r="V52" i="2"/>
  <c r="V51" i="2"/>
  <c r="U54" i="2"/>
  <c r="U53" i="2"/>
  <c r="U52" i="2"/>
  <c r="U51" i="2"/>
  <c r="S54" i="2"/>
  <c r="S53" i="2"/>
  <c r="S52" i="2"/>
  <c r="R54" i="2"/>
  <c r="R53" i="2"/>
  <c r="R52" i="2"/>
  <c r="R51" i="2"/>
  <c r="AB46" i="2"/>
  <c r="H23" i="5" s="1"/>
  <c r="Z44" i="2"/>
  <c r="H21" i="5" s="1"/>
  <c r="U46" i="2"/>
  <c r="F23" i="5" s="1"/>
  <c r="S44" i="2"/>
  <c r="F21" i="5" s="1"/>
  <c r="N46" i="2"/>
  <c r="D23" i="5" s="1"/>
  <c r="L44" i="2"/>
  <c r="D21" i="5" s="1"/>
  <c r="G46" i="2"/>
  <c r="B23" i="5" s="1"/>
  <c r="AA36" i="2"/>
  <c r="H19" i="5" s="1"/>
  <c r="AA35" i="2"/>
  <c r="T36" i="2"/>
  <c r="F19" i="5" s="1"/>
  <c r="T35" i="2"/>
  <c r="M36" i="2"/>
  <c r="D19" i="5" s="1"/>
  <c r="M35" i="2"/>
  <c r="F36" i="2"/>
  <c r="B19" i="5" s="1"/>
  <c r="F35" i="2"/>
  <c r="B18" i="5" s="1"/>
  <c r="X25" i="2"/>
  <c r="F14" i="5" s="1"/>
  <c r="Q25" i="2"/>
  <c r="D14" i="5" s="1"/>
  <c r="AC11" i="2"/>
  <c r="AB12" i="2"/>
  <c r="AB11" i="2"/>
  <c r="AA13" i="2"/>
  <c r="H8" i="5" s="1"/>
  <c r="AA12" i="2"/>
  <c r="AA11" i="2"/>
  <c r="Z14" i="2"/>
  <c r="V11" i="2"/>
  <c r="U12" i="2"/>
  <c r="U11" i="2"/>
  <c r="T13" i="2"/>
  <c r="F8" i="5" s="1"/>
  <c r="T12" i="2"/>
  <c r="T11" i="2"/>
  <c r="S14" i="2"/>
  <c r="O11" i="2"/>
  <c r="N12" i="2"/>
  <c r="N11" i="2"/>
  <c r="M13" i="2"/>
  <c r="D8" i="5" s="1"/>
  <c r="M12" i="2"/>
  <c r="D7" i="5" s="1"/>
  <c r="M11" i="2"/>
  <c r="L14" i="2"/>
  <c r="K11" i="2"/>
  <c r="I11" i="2"/>
  <c r="H11" i="2"/>
  <c r="G12" i="2"/>
  <c r="G11" i="2"/>
  <c r="F13" i="2"/>
  <c r="B8" i="5" s="1"/>
  <c r="F12" i="2"/>
  <c r="F11" i="2"/>
  <c r="E14" i="2"/>
  <c r="J8" i="5" l="1"/>
  <c r="H9" i="5"/>
  <c r="AE51" i="2"/>
  <c r="I7" i="4" s="1"/>
  <c r="F11" i="5"/>
  <c r="F20" i="5"/>
  <c r="B9" i="5"/>
  <c r="AB51" i="2"/>
  <c r="C7" i="4" s="1"/>
  <c r="F9" i="5"/>
  <c r="AD51" i="2"/>
  <c r="G7" i="4" s="1"/>
  <c r="H6" i="5"/>
  <c r="B16" i="5"/>
  <c r="D53" i="2"/>
  <c r="F18" i="5"/>
  <c r="J23" i="5"/>
  <c r="B20" i="5"/>
  <c r="B6" i="5"/>
  <c r="D9" i="5"/>
  <c r="AC51" i="2"/>
  <c r="E7" i="4" s="1"/>
  <c r="C51" i="2"/>
  <c r="F6" i="5"/>
  <c r="H7" i="5"/>
  <c r="J19" i="5"/>
  <c r="J21" i="5"/>
  <c r="D20" i="5"/>
  <c r="H20" i="5"/>
  <c r="B7" i="5"/>
  <c r="D6" i="5"/>
  <c r="F7" i="5"/>
  <c r="D11" i="5"/>
  <c r="J14" i="5"/>
  <c r="D18" i="5"/>
  <c r="C53" i="2"/>
  <c r="E53" i="2"/>
  <c r="H18" i="5"/>
  <c r="AE52" i="2"/>
  <c r="AD52" i="2"/>
  <c r="AC52" i="2"/>
  <c r="E8" i="4" s="1"/>
  <c r="AB52" i="2"/>
  <c r="C8" i="4" s="1"/>
  <c r="J7" i="5" l="1"/>
  <c r="H5" i="5"/>
  <c r="K7" i="4"/>
  <c r="C21" i="4" s="1"/>
  <c r="D16" i="5"/>
  <c r="J20" i="5"/>
  <c r="J9" i="5"/>
  <c r="H16" i="5"/>
  <c r="F5" i="5"/>
  <c r="J6" i="5"/>
  <c r="B5" i="5"/>
  <c r="J18" i="5"/>
  <c r="J11" i="5"/>
  <c r="D5" i="5"/>
  <c r="F16" i="5"/>
  <c r="I8" i="4"/>
  <c r="G8" i="4"/>
  <c r="E6" i="4"/>
  <c r="C6" i="4"/>
  <c r="B53" i="2"/>
  <c r="K8" i="4" l="1"/>
  <c r="B32" i="5"/>
  <c r="F24" i="5"/>
  <c r="B24" i="5"/>
  <c r="B34" i="5"/>
  <c r="D24" i="5"/>
  <c r="J16" i="5"/>
  <c r="J5" i="5"/>
  <c r="H24" i="5"/>
  <c r="I5" i="5" s="1"/>
  <c r="I6" i="4"/>
  <c r="G6" i="4"/>
  <c r="C22" i="4"/>
  <c r="E52" i="2"/>
  <c r="D52" i="2"/>
  <c r="C52" i="2"/>
  <c r="B52" i="2"/>
  <c r="E51" i="2"/>
  <c r="D51" i="2"/>
  <c r="I13" i="3"/>
  <c r="I5" i="3"/>
  <c r="I6" i="3"/>
  <c r="I8" i="3"/>
  <c r="I9" i="3"/>
  <c r="I10" i="3"/>
  <c r="I11" i="3"/>
  <c r="H5" i="3"/>
  <c r="H6" i="3"/>
  <c r="H8" i="3"/>
  <c r="H9" i="3"/>
  <c r="H10" i="3"/>
  <c r="H11" i="3"/>
  <c r="H13" i="3"/>
  <c r="G5" i="3"/>
  <c r="G6" i="3"/>
  <c r="G8" i="3"/>
  <c r="G9" i="3"/>
  <c r="G10" i="3"/>
  <c r="G11" i="3"/>
  <c r="G12" i="3"/>
  <c r="G13" i="3"/>
  <c r="F7" i="3"/>
  <c r="E7" i="3"/>
  <c r="D7" i="3"/>
  <c r="C7" i="3"/>
  <c r="D4" i="3"/>
  <c r="E4" i="3"/>
  <c r="E3" i="3" s="1"/>
  <c r="F4" i="3"/>
  <c r="I4" i="3" s="1"/>
  <c r="C4" i="3"/>
  <c r="C3" i="3" s="1"/>
  <c r="D3" i="3" l="1"/>
  <c r="G4" i="3"/>
  <c r="G7" i="3"/>
  <c r="H7" i="3"/>
  <c r="B31" i="5"/>
  <c r="J24" i="5"/>
  <c r="C15" i="5"/>
  <c r="C10" i="5"/>
  <c r="C12" i="5"/>
  <c r="C11" i="5"/>
  <c r="C21" i="5"/>
  <c r="C17" i="5"/>
  <c r="C13" i="5"/>
  <c r="C22" i="5"/>
  <c r="C24" i="5"/>
  <c r="C14" i="5"/>
  <c r="C19" i="5"/>
  <c r="C18" i="5"/>
  <c r="C8" i="5"/>
  <c r="C23" i="5"/>
  <c r="C9" i="5"/>
  <c r="C16" i="5"/>
  <c r="C7" i="5"/>
  <c r="C20" i="5"/>
  <c r="C6" i="5"/>
  <c r="H4" i="3"/>
  <c r="K6" i="4"/>
  <c r="I7" i="3"/>
  <c r="E24" i="5"/>
  <c r="E10" i="5"/>
  <c r="E17" i="5"/>
  <c r="E12" i="5"/>
  <c r="E15" i="5"/>
  <c r="E22" i="5"/>
  <c r="E13" i="5"/>
  <c r="E7" i="5"/>
  <c r="E8" i="5"/>
  <c r="E21" i="5"/>
  <c r="E14" i="5"/>
  <c r="E19" i="5"/>
  <c r="E23" i="5"/>
  <c r="E11" i="5"/>
  <c r="E18" i="5"/>
  <c r="E9" i="5"/>
  <c r="E6" i="5"/>
  <c r="E20" i="5"/>
  <c r="G20" i="5"/>
  <c r="G17" i="5"/>
  <c r="G22" i="5"/>
  <c r="G15" i="5"/>
  <c r="G10" i="5"/>
  <c r="G13" i="5"/>
  <c r="G24" i="5"/>
  <c r="G12" i="5"/>
  <c r="G23" i="5"/>
  <c r="G8" i="5"/>
  <c r="G14" i="5"/>
  <c r="G21" i="5"/>
  <c r="G19" i="5"/>
  <c r="G6" i="5"/>
  <c r="G18" i="5"/>
  <c r="G7" i="5"/>
  <c r="G9" i="5"/>
  <c r="G11" i="5"/>
  <c r="I24" i="5"/>
  <c r="I13" i="5"/>
  <c r="I14" i="5"/>
  <c r="I10" i="5"/>
  <c r="I17" i="5"/>
  <c r="I22" i="5"/>
  <c r="I15" i="5"/>
  <c r="I11" i="5"/>
  <c r="I12" i="5"/>
  <c r="I21" i="5"/>
  <c r="I8" i="5"/>
  <c r="I19" i="5"/>
  <c r="I23" i="5"/>
  <c r="I7" i="5"/>
  <c r="I18" i="5"/>
  <c r="I9" i="5"/>
  <c r="I6" i="5"/>
  <c r="I20" i="5"/>
  <c r="B33" i="5"/>
  <c r="K16" i="5"/>
  <c r="I16" i="5"/>
  <c r="E16" i="5"/>
  <c r="E5" i="5"/>
  <c r="C5" i="5"/>
  <c r="G5" i="5"/>
  <c r="G16" i="5"/>
  <c r="B51" i="2"/>
  <c r="F3" i="3"/>
  <c r="I3" i="3" s="1"/>
  <c r="G3" i="3" l="1"/>
  <c r="H3" i="3"/>
  <c r="K5" i="5"/>
  <c r="K17" i="5"/>
  <c r="K10" i="5"/>
  <c r="K12" i="5"/>
  <c r="K13" i="5"/>
  <c r="K24" i="5"/>
  <c r="K22" i="5"/>
  <c r="K15" i="5"/>
  <c r="K19" i="5"/>
  <c r="K23" i="5"/>
  <c r="K14" i="5"/>
  <c r="K8" i="5"/>
  <c r="K21" i="5"/>
  <c r="K6" i="5"/>
  <c r="K11" i="5"/>
  <c r="K9" i="5"/>
  <c r="K20" i="5"/>
  <c r="K18" i="5"/>
  <c r="K7" i="5"/>
  <c r="B35" i="5"/>
  <c r="C31" i="5"/>
  <c r="V55" i="2"/>
  <c r="U55" i="2"/>
  <c r="T55" i="2"/>
  <c r="S55" i="2"/>
  <c r="R55" i="2"/>
  <c r="W54" i="2"/>
  <c r="AE58" i="2" s="1"/>
  <c r="I14" i="4" s="1"/>
  <c r="W53" i="2"/>
  <c r="AD58" i="2" s="1"/>
  <c r="G14" i="4" s="1"/>
  <c r="W52" i="2"/>
  <c r="AC58" i="2" s="1"/>
  <c r="E14" i="4" s="1"/>
  <c r="W51" i="2"/>
  <c r="AB58" i="2" s="1"/>
  <c r="AE56" i="2"/>
  <c r="I12" i="4" s="1"/>
  <c r="AD56" i="2"/>
  <c r="G12" i="4" s="1"/>
  <c r="AC56" i="2"/>
  <c r="E12" i="4" s="1"/>
  <c r="AB56" i="2"/>
  <c r="C12" i="4" s="1"/>
  <c r="AE57" i="2"/>
  <c r="I13" i="4" s="1"/>
  <c r="AD57" i="2"/>
  <c r="G13" i="4" s="1"/>
  <c r="AC57" i="2"/>
  <c r="E13" i="4" s="1"/>
  <c r="AB57" i="2"/>
  <c r="C13" i="4" s="1"/>
  <c r="AE55" i="2"/>
  <c r="I11" i="4" s="1"/>
  <c r="AD55" i="2"/>
  <c r="G11" i="4" s="1"/>
  <c r="AC55" i="2"/>
  <c r="E11" i="4" s="1"/>
  <c r="AB55" i="2"/>
  <c r="C11" i="4" s="1"/>
  <c r="AE54" i="2"/>
  <c r="I10" i="4" s="1"/>
  <c r="AD54" i="2"/>
  <c r="G10" i="4" s="1"/>
  <c r="AC54" i="2"/>
  <c r="E10" i="4" s="1"/>
  <c r="AB54" i="2"/>
  <c r="C10" i="4" s="1"/>
  <c r="AE53" i="2"/>
  <c r="AD53" i="2"/>
  <c r="AC53" i="2"/>
  <c r="AB53" i="2"/>
  <c r="C9" i="4" s="1"/>
  <c r="I9" i="4" l="1"/>
  <c r="AE59" i="2"/>
  <c r="K10" i="4"/>
  <c r="K11" i="4"/>
  <c r="K13" i="4"/>
  <c r="K12" i="4"/>
  <c r="AB59" i="2"/>
  <c r="C14" i="4"/>
  <c r="C15" i="4" s="1"/>
  <c r="E9" i="4"/>
  <c r="AC59" i="2"/>
  <c r="G9" i="4"/>
  <c r="AD59" i="2"/>
  <c r="C32" i="5"/>
  <c r="C35" i="5"/>
  <c r="C34" i="5"/>
  <c r="C33" i="5"/>
  <c r="AF58" i="2"/>
  <c r="AF54" i="2"/>
  <c r="AF57" i="2"/>
  <c r="AF53" i="2"/>
  <c r="AF56" i="2"/>
  <c r="AF55" i="2"/>
  <c r="W55" i="2"/>
  <c r="AF52" i="2"/>
  <c r="E54" i="2"/>
  <c r="D54" i="2"/>
  <c r="C54" i="2"/>
  <c r="B54" i="2"/>
  <c r="K9" i="4" l="1"/>
  <c r="C23" i="4"/>
  <c r="C26" i="4"/>
  <c r="C25" i="4"/>
  <c r="D15" i="4"/>
  <c r="D8" i="4"/>
  <c r="D7" i="4"/>
  <c r="D6" i="4"/>
  <c r="K14" i="4"/>
  <c r="D14" i="4"/>
  <c r="D13" i="4"/>
  <c r="D10" i="4"/>
  <c r="G15" i="4"/>
  <c r="C27" i="4"/>
  <c r="C24" i="4"/>
  <c r="E15" i="4"/>
  <c r="F9" i="4" s="1"/>
  <c r="D12" i="4"/>
  <c r="D11" i="4"/>
  <c r="D9" i="4"/>
  <c r="I15" i="4"/>
  <c r="J9" i="4"/>
  <c r="F52" i="2"/>
  <c r="H6" i="4" l="1"/>
  <c r="H14" i="4"/>
  <c r="H15" i="4"/>
  <c r="H7" i="4"/>
  <c r="H13" i="4"/>
  <c r="H8" i="4"/>
  <c r="H10" i="4"/>
  <c r="H11" i="4"/>
  <c r="H12" i="4"/>
  <c r="J6" i="4"/>
  <c r="J7" i="4"/>
  <c r="J8" i="4"/>
  <c r="J15" i="4"/>
  <c r="J11" i="4"/>
  <c r="J13" i="4"/>
  <c r="J12" i="4"/>
  <c r="J10" i="4"/>
  <c r="J14" i="4"/>
  <c r="C28" i="4"/>
  <c r="F6" i="4"/>
  <c r="F15" i="4"/>
  <c r="F7" i="4"/>
  <c r="F8" i="4"/>
  <c r="F14" i="4"/>
  <c r="F10" i="4"/>
  <c r="F13" i="4"/>
  <c r="F12" i="4"/>
  <c r="K15" i="4"/>
  <c r="L14" i="4" s="1"/>
  <c r="H9" i="4"/>
  <c r="F54" i="2"/>
  <c r="C55" i="2"/>
  <c r="D55" i="2"/>
  <c r="E55" i="2"/>
  <c r="L7" i="4" l="1"/>
  <c r="L8" i="4"/>
  <c r="L6" i="4"/>
  <c r="L15" i="4"/>
  <c r="L12" i="4"/>
  <c r="L10" i="4"/>
  <c r="L9" i="4"/>
  <c r="L11" i="4"/>
  <c r="L13" i="4"/>
  <c r="F51" i="2"/>
  <c r="AG34" i="2"/>
  <c r="AG36" i="2"/>
  <c r="AG46" i="2"/>
  <c r="AG45" i="2"/>
  <c r="AG25" i="2"/>
  <c r="AG23" i="2"/>
  <c r="AG26" i="2"/>
  <c r="AG24" i="2"/>
  <c r="AG11" i="2"/>
  <c r="AG14" i="2"/>
  <c r="AG12" i="2"/>
  <c r="AG13" i="2" l="1"/>
  <c r="AG15" i="2"/>
  <c r="AG44" i="2"/>
  <c r="AF51" i="2" l="1"/>
  <c r="AF59" i="2" s="1"/>
  <c r="F53" i="2"/>
  <c r="AG35" i="2"/>
  <c r="B55" i="2" l="1"/>
  <c r="F55" i="2" s="1"/>
</calcChain>
</file>

<file path=xl/sharedStrings.xml><?xml version="1.0" encoding="utf-8"?>
<sst xmlns="http://schemas.openxmlformats.org/spreadsheetml/2006/main" count="353" uniqueCount="149">
  <si>
    <t xml:space="preserve"> Plan de Inversiones </t>
  </si>
  <si>
    <t xml:space="preserve"> Plan Plurianual de inversiones "El Tolima nos Une"  2020-2023 </t>
  </si>
  <si>
    <t xml:space="preserve">Departamento:  </t>
  </si>
  <si>
    <t>TOLIMA</t>
  </si>
  <si>
    <t>Entidad:                                   GOBERNACION DEL TOLIMA</t>
  </si>
  <si>
    <t xml:space="preserve"> PILAR 1</t>
  </si>
  <si>
    <t>EQUIDAD</t>
  </si>
  <si>
    <t>POLITICA</t>
  </si>
  <si>
    <t>TOLIMA, TIERRA DE INCLUSION Y BIENESTAR</t>
  </si>
  <si>
    <t>Fuentes  (millones de pesos)</t>
  </si>
  <si>
    <t>TOTAL 2020 - 2023</t>
  </si>
  <si>
    <t>Programa</t>
  </si>
  <si>
    <t>Programa Presupuestal - PP</t>
  </si>
  <si>
    <t>Código PP</t>
  </si>
  <si>
    <t>Meta de resultado</t>
  </si>
  <si>
    <t>Ingresos Corrientes de Libre Destinación         ICLD</t>
  </si>
  <si>
    <t>Ingresos Corrientes de  Destinación Específica ICDE</t>
  </si>
  <si>
    <t>Sistema General de Participaciones     SGP</t>
  </si>
  <si>
    <t>Otros (Rentas Cedidas)</t>
  </si>
  <si>
    <t>Nacion</t>
  </si>
  <si>
    <t>Crédito</t>
  </si>
  <si>
    <t>Otros          FOMETOL</t>
  </si>
  <si>
    <t xml:space="preserve">Otros </t>
  </si>
  <si>
    <t>Otros</t>
  </si>
  <si>
    <t>Salud y bienestar para unir el Tolima</t>
  </si>
  <si>
    <t>1903, 1905, 1906</t>
  </si>
  <si>
    <t>Ver contenido documento</t>
  </si>
  <si>
    <t>En el Tolima, La Educación y Cultura nos une</t>
  </si>
  <si>
    <t>22, 33</t>
  </si>
  <si>
    <t>2201, 2202, 3301, 3302</t>
  </si>
  <si>
    <t>En el Tolima, la Inclusion social nos une</t>
  </si>
  <si>
    <t>4101, 4102, 4103, 4104</t>
  </si>
  <si>
    <t>En el Tolima,  el Deporte nos une</t>
  </si>
  <si>
    <t>4301, 4302</t>
  </si>
  <si>
    <t>El Tolima nos une por la equidad y la participación de las mujeres</t>
  </si>
  <si>
    <t>36, 41</t>
  </si>
  <si>
    <t>3602, 4102</t>
  </si>
  <si>
    <t>PILAR 2</t>
  </si>
  <si>
    <t>COMPETITIVIDAD</t>
  </si>
  <si>
    <t>TOLIMA, TIERRA DE OPORTUNIDADES</t>
  </si>
  <si>
    <t>Integracion Regional y Transformación del Campo que nos une</t>
  </si>
  <si>
    <t>1702, 1703, 1704, 1706, 1707, 1708, 1709</t>
  </si>
  <si>
    <t>Emprenderismo y Fortalecimiento Empresarial</t>
  </si>
  <si>
    <t>21, 35,36</t>
  </si>
  <si>
    <t>2104, 3502, 3602, 3603</t>
  </si>
  <si>
    <t>Infraestructura para el Desarrollo</t>
  </si>
  <si>
    <t>24,  40</t>
  </si>
  <si>
    <t>2402, 2409, 4001</t>
  </si>
  <si>
    <t>Tecnología de la Información y la Comunicación TIC y Transformacion Digital del Tolima</t>
  </si>
  <si>
    <t>23, 36</t>
  </si>
  <si>
    <t>2301, 2302, 3605</t>
  </si>
  <si>
    <t>PILAR 3</t>
  </si>
  <si>
    <t>GOBERNABILIDAD</t>
  </si>
  <si>
    <t>TOLIMA, GOBIERNO DE PAZ, UNIDAD Y RECONCILIACION</t>
  </si>
  <si>
    <t>Tolima territorio con justicia, Paz y Derechos Humanos y atención integral a las victimas</t>
  </si>
  <si>
    <t>12, 41</t>
  </si>
  <si>
    <t>1202, 1203,1206, 4101</t>
  </si>
  <si>
    <t xml:space="preserve">Buen gobierno, participación ciudadana y gestión institucional transparente </t>
  </si>
  <si>
    <t xml:space="preserve">Con seguridad el Tolima nos Une </t>
  </si>
  <si>
    <t>PILAR 4</t>
  </si>
  <si>
    <t>SOSTENIBILIDAD</t>
  </si>
  <si>
    <t xml:space="preserve">TOLIMA, TERRITORIO DE CONCIENCIA AMBIENTAL </t>
  </si>
  <si>
    <t>Recurso hídrico, ecosistemas estratégicos y áreas protegidas</t>
  </si>
  <si>
    <t>3201, 3202, 3203</t>
  </si>
  <si>
    <t>Ver conenido documento</t>
  </si>
  <si>
    <t>Gestión de riesgo y cambio climático, Ordenamiento territorial y gestión Socioambiental</t>
  </si>
  <si>
    <t>32, 40, 45</t>
  </si>
  <si>
    <t>3205, 3206, 4002, 4503</t>
  </si>
  <si>
    <t>Entornos para un Desarrollo Sectorial Sostenible</t>
  </si>
  <si>
    <t>21, 40</t>
  </si>
  <si>
    <t>2101, 2102, 2105, 4001, 4003</t>
  </si>
  <si>
    <t>Fuentes (millones de pesos)</t>
  </si>
  <si>
    <t>TOTALES</t>
  </si>
  <si>
    <t>Fondo de Desarrollo Regional</t>
  </si>
  <si>
    <t>Fondo de Compensación Regional</t>
  </si>
  <si>
    <t>(Millones de pesos)</t>
  </si>
  <si>
    <t>PILARES</t>
  </si>
  <si>
    <t>Año</t>
  </si>
  <si>
    <t>Departamento</t>
  </si>
  <si>
    <t>Asignaciones Directas</t>
  </si>
  <si>
    <t>FDR menos compensaciones</t>
  </si>
  <si>
    <t>Monto que podra usarse para compensar AD</t>
  </si>
  <si>
    <t>Fondo de Compensación Regional (FCR 60%)</t>
  </si>
  <si>
    <t>FCT&amp;I</t>
  </si>
  <si>
    <t>TOTAL</t>
  </si>
  <si>
    <t>RECURSOS</t>
  </si>
  <si>
    <t>2020</t>
  </si>
  <si>
    <t xml:space="preserve">Tolima                                            </t>
  </si>
  <si>
    <t>Ingresos corrientes de libre destinacion - ICLD</t>
  </si>
  <si>
    <t>2021</t>
  </si>
  <si>
    <t>Ingresos corrientes de destinación específica - ICDE</t>
  </si>
  <si>
    <t>2022</t>
  </si>
  <si>
    <t>Sistema General de Participaciones - SGP</t>
  </si>
  <si>
    <t>2023</t>
  </si>
  <si>
    <t>Otros (Rentas cedidas)</t>
  </si>
  <si>
    <t>Recursos Nacion</t>
  </si>
  <si>
    <t>FUENTE: Secretaria de Planeación y TIC</t>
  </si>
  <si>
    <t xml:space="preserve">PROYECCION TOTAL RECURSOS SGR </t>
  </si>
  <si>
    <t>Recursos del Crédito</t>
  </si>
  <si>
    <t>Fuente: Cálculos Grupo GFT - DIFP</t>
  </si>
  <si>
    <t>Otros (FOMETOL)</t>
  </si>
  <si>
    <t>NOTA:   ESTOS RECURSOS NO SE DISTRIBUYEN SINO EN LA MEDIDA EN QUE SE APRUEBEN LOS PROYECTOS POR PARTE DE LA OCAD</t>
  </si>
  <si>
    <t>Sistema General de Regalias - SGR</t>
  </si>
  <si>
    <t>TOTAL </t>
  </si>
  <si>
    <t xml:space="preserve">Tabla </t>
  </si>
  <si>
    <t>Tolima, Fuentes de financiación  de la inversón del  Plan de Desarrollo  (2020-2023)</t>
  </si>
  <si>
    <t>Millones de $</t>
  </si>
  <si>
    <t>CONCEPTO</t>
  </si>
  <si>
    <t xml:space="preserve">Var % </t>
  </si>
  <si>
    <t>%</t>
  </si>
  <si>
    <t xml:space="preserve">RECURSOS PROPIOS   </t>
  </si>
  <si>
    <t xml:space="preserve">   Ingresos corrientes de libre destinación   ICLD</t>
  </si>
  <si>
    <t xml:space="preserve">   Recursos de destinación específica</t>
  </si>
  <si>
    <t xml:space="preserve">SISTEMA GENERAL DE PARTICIPACIONES -  SGP </t>
  </si>
  <si>
    <t>OTROS (Rentas Cedidas)</t>
  </si>
  <si>
    <t>NACION</t>
  </si>
  <si>
    <t>RECURSOS CREDITO</t>
  </si>
  <si>
    <t>OTROS  - FOMETOL</t>
  </si>
  <si>
    <t>SISTEMA GENERAL DE REGALIAS  - SGR</t>
  </si>
  <si>
    <t xml:space="preserve">TOTAL </t>
  </si>
  <si>
    <r>
      <rPr>
        <b/>
        <sz val="11"/>
        <rFont val="Arial Narrow"/>
        <family val="2"/>
      </rPr>
      <t xml:space="preserve"> Fuente </t>
    </r>
    <r>
      <rPr>
        <sz val="11"/>
        <rFont val="Arial Narrow"/>
        <family val="2"/>
      </rPr>
      <t xml:space="preserve">     Secretaria de Planeación y TIC</t>
    </r>
  </si>
  <si>
    <t xml:space="preserve"> </t>
  </si>
  <si>
    <t>INGRESOS CORRIENTES DE LIBE DESTINACION -  ICLD</t>
  </si>
  <si>
    <t>INGRESOS CORRIENTES DE DESTINACION ESPECIFICA - ICDE</t>
  </si>
  <si>
    <t>Tabla</t>
  </si>
  <si>
    <t>Tolima, Distribución de la inversión por políticas y programas 2020-2023</t>
  </si>
  <si>
    <t>(Millones de $)</t>
  </si>
  <si>
    <t>VARIACION</t>
  </si>
  <si>
    <t>Tolima, tierra de inclusión y bienestar</t>
  </si>
  <si>
    <t>Tolima, tierra de oportunidades</t>
  </si>
  <si>
    <t>Tolima, gobierno de paz, unidad y reconciliación</t>
  </si>
  <si>
    <t>Tolima, territorio de conciencia ambiental</t>
  </si>
  <si>
    <t>Recurso hídrico, ecosistemas estratégicos y areas protegidas</t>
  </si>
  <si>
    <t xml:space="preserve"> Fuente :   Secretaria de Planeación y TIC</t>
  </si>
  <si>
    <t>CODIGO</t>
  </si>
  <si>
    <t>2021-2020</t>
  </si>
  <si>
    <t>2022-2021</t>
  </si>
  <si>
    <t>2023-2022</t>
  </si>
  <si>
    <t>PRESUPUESTO DE INGRESOS</t>
  </si>
  <si>
    <t>INCRESOS CORRIENTES</t>
  </si>
  <si>
    <t>TRIBUTARIO</t>
  </si>
  <si>
    <t>NO TRIBUTARIO</t>
  </si>
  <si>
    <t>FONDOS ESPECIALES</t>
  </si>
  <si>
    <t xml:space="preserve">FONDO EDUCATIVO DEPARTAMENTAL </t>
  </si>
  <si>
    <t>FONDO DEPARTAMENTAL DE SALUD</t>
  </si>
  <si>
    <t>FONDO DE SEGURIDAD</t>
  </si>
  <si>
    <t>FONDO TERRITORIAL DE PENSIONES</t>
  </si>
  <si>
    <t>FONDO DE MITIGACION ECONOMICA - FOMETOL</t>
  </si>
  <si>
    <t>RECURSOS DE CAPITAL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</si>
</sst>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1" formatCode="_-* #,##0_-;\-* #,##0_-;_-* &quot;-&quot;_-;_-@_-"/>
    <numFmt numFmtId="43" formatCode="_-* #,##0.00_-;\-* #,##0.00_-;_-* &quot;-&quot;??_-;_-@_-"/>
    <numFmt numFmtId="164" formatCode="_-&quot;$&quot;* #,##0_-;\-&quot;$&quot;* #,##0_-;_-&quot;$&quot;* &quot;-&quot;_-;_-@_-"/>
    <numFmt numFmtId="165" formatCode="_(* #,##0_);_(* \(#,##0\);_(* &quot;-&quot;??_);_(@_)"/>
    <numFmt numFmtId="166" formatCode="_(* #,##0.00000000_);_(* \(#,##0.00000000\);_(* &quot;-&quot;??_);_(@_)"/>
    <numFmt numFmtId="167" formatCode="0.0%"/>
    <numFmt numFmtId="168" formatCode="#,##0.0"/>
    <numFmt numFmtId="169" formatCode="_-* #,##0.0_-;\-* #,##0.0_-;_-* &quot;-&quot;_-;_-@_-"/>
    <numFmt numFmtId="170" formatCode="_(* #,##0.0_);_(* \(#,##0.0\);_(* &quot;-&quot;??_);_(@_)"/>
    <numFmt numFmtId="171" formatCode="_-&quot;$&quot;* #,##0.0_-;\-&quot;$&quot;* #,##0.0_-;_-&quot;$&quot;* &quot;-&quot;_-;_-@_-"/>
  </numFmts>
  <fonts count="65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4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1"/>
      <color rgb="FF000000"/>
      <name val="Arial"/>
      <family val="2"/>
    </font>
    <font>
      <b/>
      <sz val="11"/>
      <color rgb="FF1C2F33"/>
      <name val="Calibri"/>
      <family val="2"/>
      <scheme val="minor"/>
    </font>
    <font>
      <i/>
      <sz val="12"/>
      <color rgb="FF1C2F33"/>
      <name val="Calibri"/>
      <family val="2"/>
      <scheme val="minor"/>
    </font>
    <font>
      <sz val="11"/>
      <color rgb="FF1C2F33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i/>
      <sz val="14"/>
      <color rgb="FF1C2F33"/>
      <name val="Calibri"/>
      <family val="2"/>
      <scheme val="minor"/>
    </font>
    <font>
      <b/>
      <sz val="28"/>
      <name val="Calibri"/>
      <family val="2"/>
      <scheme val="minor"/>
    </font>
    <font>
      <b/>
      <i/>
      <sz val="22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sz val="11"/>
      <color rgb="FF1C2F33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i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1C2F33"/>
      <name val="Arial"/>
      <family val="2"/>
    </font>
    <font>
      <sz val="12"/>
      <color theme="1"/>
      <name val="Arial"/>
      <family val="2"/>
    </font>
    <font>
      <b/>
      <i/>
      <sz val="14"/>
      <color rgb="FF1C2F33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Calibri"/>
      <family val="2"/>
    </font>
    <font>
      <sz val="7"/>
      <color indexed="8"/>
      <name val="Arial"/>
      <family val="2"/>
    </font>
    <font>
      <b/>
      <sz val="14"/>
      <color theme="1"/>
      <name val="Arial"/>
      <family val="2"/>
    </font>
    <font>
      <b/>
      <sz val="11"/>
      <name val="Arial Narrow"/>
      <family val="2"/>
    </font>
    <font>
      <i/>
      <sz val="10"/>
      <name val="Times New Roman"/>
      <family val="1"/>
    </font>
    <font>
      <b/>
      <sz val="11"/>
      <color indexed="8"/>
      <name val="Arial Narrow"/>
      <family val="2"/>
    </font>
    <font>
      <sz val="11"/>
      <name val="Arial Narrow"/>
      <family val="2"/>
    </font>
    <font>
      <i/>
      <sz val="8"/>
      <name val="Times New Roman"/>
      <family val="1"/>
    </font>
    <font>
      <b/>
      <i/>
      <sz val="8"/>
      <name val="Times New Roman"/>
      <family val="1"/>
    </font>
    <font>
      <b/>
      <sz val="10"/>
      <name val="Arial Narrow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color rgb="FFFFFFFF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rgb="FF1C2F33"/>
      <name val="Arial"/>
      <family val="2"/>
    </font>
    <font>
      <b/>
      <sz val="12"/>
      <color rgb="FFFFFFFF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sz val="16"/>
      <color rgb="FF1C2F33"/>
      <name val="Calibri"/>
      <family val="2"/>
      <scheme val="minor"/>
    </font>
    <font>
      <b/>
      <sz val="12"/>
      <color rgb="FF1C2F33"/>
      <name val="Calibri"/>
      <family val="2"/>
      <scheme val="minor"/>
    </font>
    <font>
      <sz val="12"/>
      <color rgb="FF1C2F33"/>
      <name val="Arial"/>
      <family val="2"/>
    </font>
    <font>
      <sz val="14"/>
      <color rgb="FF1C2F33"/>
      <name val="Arial"/>
      <family val="2"/>
    </font>
    <font>
      <sz val="14"/>
      <name val="Arial"/>
      <family val="2"/>
    </font>
    <font>
      <sz val="14"/>
      <color theme="1"/>
      <name val="Arial"/>
      <family val="2"/>
    </font>
    <font>
      <b/>
      <sz val="14"/>
      <name val="Arial"/>
      <family val="2"/>
    </font>
    <font>
      <b/>
      <sz val="16"/>
      <color theme="1"/>
      <name val="Arial"/>
      <family val="2"/>
    </font>
    <font>
      <b/>
      <i/>
      <sz val="16"/>
      <color rgb="FF1C2F33"/>
      <name val="Arial"/>
      <family val="2"/>
    </font>
    <font>
      <sz val="16"/>
      <color theme="1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EBACC"/>
        <bgColor indexed="64"/>
      </patternFill>
    </fill>
    <fill>
      <patternFill patternType="solid">
        <fgColor rgb="FF7BCBE5"/>
        <bgColor indexed="64"/>
      </patternFill>
    </fill>
    <fill>
      <patternFill patternType="solid">
        <fgColor rgb="FF39727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808080"/>
        <bgColor rgb="FF000000"/>
      </patternFill>
    </fill>
    <fill>
      <patternFill patternType="solid">
        <fgColor rgb="FFD9D9D9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2" tint="-0.249977111117893"/>
        <bgColor rgb="FF000000"/>
      </patternFill>
    </fill>
    <fill>
      <patternFill patternType="solid">
        <fgColor theme="2" tint="-0.249977111117893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ECECEC"/>
      </left>
      <right style="thin">
        <color rgb="FFECECEC"/>
      </right>
      <top style="thin">
        <color rgb="FFECECEC"/>
      </top>
      <bottom style="thin">
        <color rgb="FFECECEC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rgb="FFECECEC"/>
      </left>
      <right/>
      <top style="thin">
        <color rgb="FFECECEC"/>
      </top>
      <bottom style="thin">
        <color rgb="FFECECEC"/>
      </bottom>
      <diagonal/>
    </border>
    <border>
      <left/>
      <right/>
      <top style="thin">
        <color rgb="FFECECEC"/>
      </top>
      <bottom style="thin">
        <color rgb="FFECECEC"/>
      </bottom>
      <diagonal/>
    </border>
    <border>
      <left/>
      <right style="thin">
        <color rgb="FFECECEC"/>
      </right>
      <top style="thin">
        <color rgb="FFECECEC"/>
      </top>
      <bottom style="thin">
        <color rgb="FFECECEC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 style="thin">
        <color rgb="FFECECEC"/>
      </bottom>
      <diagonal/>
    </border>
    <border>
      <left/>
      <right/>
      <top style="thin">
        <color indexed="64"/>
      </top>
      <bottom style="thin">
        <color rgb="FFECECE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thin">
        <color theme="0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theme="0"/>
      </bottom>
      <diagonal/>
    </border>
    <border>
      <left/>
      <right/>
      <top/>
      <bottom style="thin">
        <color rgb="FFECECEC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ECECEC"/>
      </left>
      <right style="thin">
        <color rgb="FFECECEC"/>
      </right>
      <top style="thin">
        <color rgb="FFECECEC"/>
      </top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/>
      <top style="thin">
        <color theme="1"/>
      </top>
      <bottom style="thin">
        <color indexed="64"/>
      </bottom>
      <diagonal/>
    </border>
    <border>
      <left/>
      <right style="thin">
        <color indexed="64"/>
      </right>
      <top style="thin">
        <color theme="1"/>
      </top>
      <bottom style="thin">
        <color indexed="64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2" tint="-0.499984740745262"/>
      </left>
      <right/>
      <top style="thin">
        <color theme="2" tint="-0.499984740745262"/>
      </top>
      <bottom/>
      <diagonal/>
    </border>
    <border>
      <left/>
      <right/>
      <top style="thin">
        <color theme="2" tint="-0.499984740745262"/>
      </top>
      <bottom/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/>
      <diagonal/>
    </border>
    <border>
      <left/>
      <right style="thin">
        <color theme="2" tint="-0.499984740745262"/>
      </right>
      <top style="thin">
        <color theme="2" tint="-0.499984740745262"/>
      </top>
      <bottom/>
      <diagonal/>
    </border>
    <border>
      <left style="thin">
        <color theme="2" tint="-0.499984740745262"/>
      </left>
      <right/>
      <top/>
      <bottom/>
      <diagonal/>
    </border>
    <border>
      <left style="thin">
        <color theme="2" tint="-0.499984740745262"/>
      </left>
      <right style="thin">
        <color theme="2" tint="-0.499984740745262"/>
      </right>
      <top/>
      <bottom/>
      <diagonal/>
    </border>
    <border>
      <left/>
      <right style="thin">
        <color theme="2" tint="-0.499984740745262"/>
      </right>
      <top/>
      <bottom style="thin">
        <color theme="2" tint="-0.499984740745262"/>
      </bottom>
      <diagonal/>
    </border>
    <border>
      <left/>
      <right style="thin">
        <color theme="0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theme="0"/>
      </left>
      <right style="thin">
        <color theme="0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/>
      <top style="thin">
        <color theme="2" tint="-0.499984740745262"/>
      </top>
      <bottom style="thin">
        <color theme="2" tint="-0.499984740745262"/>
      </bottom>
      <diagonal/>
    </border>
    <border>
      <left/>
      <right/>
      <top style="thin">
        <color theme="2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/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2" tint="-9.9978637043366805E-2"/>
      </left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2" tint="-0.499984740745262"/>
      </left>
      <right/>
      <top/>
      <bottom style="thin">
        <color indexed="64"/>
      </bottom>
      <diagonal/>
    </border>
    <border>
      <left style="thin">
        <color theme="2" tint="-0.499984740745262"/>
      </left>
      <right style="thin">
        <color theme="2" tint="-0.499984740745262"/>
      </right>
      <top/>
      <bottom style="thin">
        <color indexed="64"/>
      </bottom>
      <diagonal/>
    </border>
    <border>
      <left/>
      <right style="thin">
        <color theme="2" tint="-0.499984740745262"/>
      </right>
      <top/>
      <bottom style="thin">
        <color indexed="64"/>
      </bottom>
      <diagonal/>
    </border>
    <border>
      <left style="thin">
        <color theme="2" tint="-0.499984740745262"/>
      </left>
      <right style="thin">
        <color theme="0"/>
      </right>
      <top style="thin">
        <color indexed="64"/>
      </top>
      <bottom style="thin">
        <color theme="2" tint="-0.499984740745262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2" tint="-0.499984740745262"/>
      </bottom>
      <diagonal/>
    </border>
    <border>
      <left style="thin">
        <color theme="0"/>
      </left>
      <right style="thin">
        <color theme="2" tint="-0.499984740745262"/>
      </right>
      <top style="thin">
        <color indexed="64"/>
      </top>
      <bottom style="thin">
        <color theme="2" tint="-0.499984740745262"/>
      </bottom>
      <diagonal/>
    </border>
    <border>
      <left style="thin">
        <color theme="0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1">
    <xf numFmtId="0" fontId="0" fillId="0" borderId="0"/>
    <xf numFmtId="0" fontId="12" fillId="4" borderId="4" applyAlignment="0">
      <alignment horizontal="center" vertical="center" wrapText="1"/>
    </xf>
    <xf numFmtId="0" fontId="13" fillId="5" borderId="5">
      <alignment horizontal="left" vertical="center" wrapText="1"/>
    </xf>
    <xf numFmtId="0" fontId="2" fillId="6" borderId="5" applyFont="0">
      <alignment horizontal="center" vertical="center" wrapText="1"/>
    </xf>
    <xf numFmtId="0" fontId="14" fillId="0" borderId="3" applyAlignment="0">
      <alignment horizontal="justify" vertical="center" wrapText="1"/>
    </xf>
    <xf numFmtId="41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36" fillId="0" borderId="0"/>
  </cellStyleXfs>
  <cellXfs count="251">
    <xf numFmtId="0" fontId="0" fillId="0" borderId="0" xfId="0"/>
    <xf numFmtId="0" fontId="3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3" fillId="3" borderId="0" xfId="0" applyFont="1" applyFill="1" applyAlignment="1">
      <alignment vertical="center" wrapText="1"/>
    </xf>
    <xf numFmtId="0" fontId="4" fillId="3" borderId="0" xfId="0" applyFont="1" applyFill="1" applyAlignment="1">
      <alignment vertical="center" wrapText="1"/>
    </xf>
    <xf numFmtId="0" fontId="6" fillId="3" borderId="0" xfId="0" applyFont="1" applyFill="1" applyAlignment="1">
      <alignment vertical="center"/>
    </xf>
    <xf numFmtId="0" fontId="7" fillId="3" borderId="0" xfId="0" applyFont="1" applyFill="1" applyAlignment="1">
      <alignment vertical="center" wrapText="1"/>
    </xf>
    <xf numFmtId="0" fontId="8" fillId="3" borderId="0" xfId="0" applyFont="1" applyFill="1" applyAlignment="1">
      <alignment vertical="center" wrapText="1"/>
    </xf>
    <xf numFmtId="0" fontId="9" fillId="3" borderId="0" xfId="0" applyFont="1" applyFill="1" applyAlignment="1">
      <alignment horizontal="left" vertical="center" wrapText="1"/>
    </xf>
    <xf numFmtId="0" fontId="10" fillId="3" borderId="0" xfId="0" applyFont="1" applyFill="1" applyAlignment="1">
      <alignment horizontal="left" vertical="center" wrapText="1"/>
    </xf>
    <xf numFmtId="0" fontId="0" fillId="3" borderId="0" xfId="0" applyFont="1" applyFill="1" applyAlignment="1">
      <alignment vertical="center" wrapText="1"/>
    </xf>
    <xf numFmtId="0" fontId="5" fillId="3" borderId="0" xfId="0" applyFont="1" applyFill="1" applyAlignment="1">
      <alignment vertical="center" wrapText="1"/>
    </xf>
    <xf numFmtId="0" fontId="4" fillId="3" borderId="0" xfId="0" applyFont="1" applyFill="1" applyBorder="1" applyAlignment="1">
      <alignment vertical="center" wrapText="1"/>
    </xf>
    <xf numFmtId="165" fontId="4" fillId="3" borderId="0" xfId="0" applyNumberFormat="1" applyFont="1" applyFill="1" applyAlignment="1">
      <alignment vertical="center" wrapText="1"/>
    </xf>
    <xf numFmtId="0" fontId="17" fillId="3" borderId="0" xfId="0" applyFont="1" applyFill="1" applyAlignment="1">
      <alignment horizontal="left" vertical="center" wrapText="1"/>
    </xf>
    <xf numFmtId="0" fontId="3" fillId="3" borderId="0" xfId="0" applyFont="1" applyFill="1"/>
    <xf numFmtId="41" fontId="5" fillId="3" borderId="0" xfId="0" applyNumberFormat="1" applyFont="1" applyFill="1" applyAlignment="1">
      <alignment vertical="center" wrapText="1"/>
    </xf>
    <xf numFmtId="0" fontId="30" fillId="4" borderId="4" xfId="1" applyFont="1" applyAlignment="1">
      <alignment horizontal="center" vertical="center"/>
    </xf>
    <xf numFmtId="0" fontId="0" fillId="3" borderId="0" xfId="0" applyFont="1" applyFill="1" applyBorder="1" applyAlignment="1">
      <alignment vertical="center" wrapText="1"/>
    </xf>
    <xf numFmtId="0" fontId="0" fillId="0" borderId="13" xfId="0" applyBorder="1"/>
    <xf numFmtId="0" fontId="30" fillId="4" borderId="6" xfId="1" applyFont="1" applyBorder="1" applyAlignment="1">
      <alignment horizontal="center" vertical="center"/>
    </xf>
    <xf numFmtId="0" fontId="27" fillId="5" borderId="12" xfId="0" applyFont="1" applyFill="1" applyBorder="1" applyAlignment="1">
      <alignment horizontal="center" vertical="center" wrapText="1"/>
    </xf>
    <xf numFmtId="0" fontId="26" fillId="2" borderId="13" xfId="0" applyFont="1" applyFill="1" applyBorder="1" applyAlignment="1">
      <alignment horizontal="center" vertical="center" wrapText="1"/>
    </xf>
    <xf numFmtId="0" fontId="27" fillId="5" borderId="1" xfId="0" applyFont="1" applyFill="1" applyBorder="1" applyAlignment="1">
      <alignment horizontal="center" vertical="center" wrapText="1"/>
    </xf>
    <xf numFmtId="0" fontId="27" fillId="5" borderId="2" xfId="0" applyFont="1" applyFill="1" applyBorder="1" applyAlignment="1">
      <alignment horizontal="center" vertical="center" wrapText="1"/>
    </xf>
    <xf numFmtId="166" fontId="31" fillId="0" borderId="27" xfId="9" applyNumberFormat="1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0" fontId="0" fillId="0" borderId="13" xfId="0" applyBorder="1" applyAlignment="1">
      <alignment horizontal="left"/>
    </xf>
    <xf numFmtId="0" fontId="35" fillId="0" borderId="13" xfId="0" applyFont="1" applyBorder="1" applyAlignment="1">
      <alignment horizontal="left"/>
    </xf>
    <xf numFmtId="0" fontId="35" fillId="0" borderId="13" xfId="0" applyFont="1" applyBorder="1"/>
    <xf numFmtId="41" fontId="0" fillId="0" borderId="13" xfId="5" applyFont="1" applyBorder="1"/>
    <xf numFmtId="41" fontId="35" fillId="0" borderId="13" xfId="5" applyFont="1" applyBorder="1"/>
    <xf numFmtId="41" fontId="34" fillId="0" borderId="13" xfId="5" applyFont="1" applyBorder="1"/>
    <xf numFmtId="167" fontId="33" fillId="0" borderId="13" xfId="8" applyNumberFormat="1" applyFont="1" applyBorder="1"/>
    <xf numFmtId="0" fontId="3" fillId="3" borderId="17" xfId="0" applyFont="1" applyFill="1" applyBorder="1" applyAlignment="1">
      <alignment vertical="center" wrapText="1"/>
    </xf>
    <xf numFmtId="0" fontId="9" fillId="3" borderId="17" xfId="0" applyFont="1" applyFill="1" applyBorder="1" applyAlignment="1">
      <alignment vertical="center" wrapText="1"/>
    </xf>
    <xf numFmtId="3" fontId="5" fillId="3" borderId="0" xfId="0" applyNumberFormat="1" applyFont="1" applyFill="1" applyAlignment="1">
      <alignment vertical="center" wrapText="1"/>
    </xf>
    <xf numFmtId="166" fontId="31" fillId="0" borderId="15" xfId="9" applyNumberFormat="1" applyFont="1" applyBorder="1" applyAlignment="1"/>
    <xf numFmtId="167" fontId="3" fillId="3" borderId="0" xfId="8" applyNumberFormat="1" applyFont="1" applyFill="1" applyAlignment="1">
      <alignment vertical="center" wrapText="1"/>
    </xf>
    <xf numFmtId="0" fontId="40" fillId="0" borderId="0" xfId="0" applyFont="1"/>
    <xf numFmtId="0" fontId="40" fillId="0" borderId="5" xfId="0" applyFont="1" applyBorder="1"/>
    <xf numFmtId="0" fontId="40" fillId="0" borderId="36" xfId="0" applyFont="1" applyBorder="1"/>
    <xf numFmtId="0" fontId="40" fillId="0" borderId="37" xfId="0" applyFont="1" applyBorder="1"/>
    <xf numFmtId="0" fontId="40" fillId="0" borderId="38" xfId="0" applyFont="1" applyBorder="1"/>
    <xf numFmtId="0" fontId="39" fillId="7" borderId="40" xfId="0" applyFont="1" applyFill="1" applyBorder="1" applyAlignment="1">
      <alignment horizontal="center"/>
    </xf>
    <xf numFmtId="0" fontId="40" fillId="0" borderId="35" xfId="0" applyFont="1" applyBorder="1"/>
    <xf numFmtId="0" fontId="42" fillId="7" borderId="0" xfId="0" applyFont="1" applyFill="1"/>
    <xf numFmtId="0" fontId="39" fillId="0" borderId="39" xfId="0" applyFont="1" applyBorder="1" applyAlignment="1">
      <alignment horizontal="left"/>
    </xf>
    <xf numFmtId="2" fontId="39" fillId="0" borderId="40" xfId="0" applyNumberFormat="1" applyFont="1" applyBorder="1"/>
    <xf numFmtId="168" fontId="39" fillId="0" borderId="41" xfId="0" applyNumberFormat="1" applyFont="1" applyBorder="1"/>
    <xf numFmtId="167" fontId="39" fillId="0" borderId="41" xfId="8" applyNumberFormat="1" applyFont="1" applyBorder="1"/>
    <xf numFmtId="167" fontId="39" fillId="0" borderId="42" xfId="8" applyNumberFormat="1" applyFont="1" applyBorder="1"/>
    <xf numFmtId="0" fontId="40" fillId="0" borderId="46" xfId="0" applyFont="1" applyBorder="1"/>
    <xf numFmtId="0" fontId="40" fillId="0" borderId="47" xfId="0" applyFont="1" applyBorder="1"/>
    <xf numFmtId="0" fontId="42" fillId="0" borderId="48" xfId="0" applyFont="1" applyBorder="1" applyAlignment="1">
      <alignment horizontal="left" wrapText="1"/>
    </xf>
    <xf numFmtId="2" fontId="39" fillId="0" borderId="49" xfId="0" applyNumberFormat="1" applyFont="1" applyBorder="1"/>
    <xf numFmtId="168" fontId="42" fillId="0" borderId="50" xfId="0" applyNumberFormat="1" applyFont="1" applyBorder="1"/>
    <xf numFmtId="167" fontId="39" fillId="0" borderId="50" xfId="8" applyNumberFormat="1" applyFont="1" applyBorder="1"/>
    <xf numFmtId="167" fontId="39" fillId="0" borderId="51" xfId="8" applyNumberFormat="1" applyFont="1" applyBorder="1"/>
    <xf numFmtId="0" fontId="40" fillId="0" borderId="52" xfId="0" applyFont="1" applyBorder="1"/>
    <xf numFmtId="0" fontId="40" fillId="0" borderId="53" xfId="0" applyFont="1" applyBorder="1"/>
    <xf numFmtId="0" fontId="39" fillId="0" borderId="48" xfId="0" applyFont="1" applyBorder="1" applyAlignment="1">
      <alignment horizontal="justify" vertical="center"/>
    </xf>
    <xf numFmtId="168" fontId="39" fillId="0" borderId="50" xfId="0" applyNumberFormat="1" applyFont="1" applyBorder="1"/>
    <xf numFmtId="0" fontId="39" fillId="0" borderId="48" xfId="0" applyFont="1" applyBorder="1" applyAlignment="1">
      <alignment horizontal="justify"/>
    </xf>
    <xf numFmtId="0" fontId="39" fillId="0" borderId="48" xfId="0" applyFont="1" applyBorder="1" applyAlignment="1">
      <alignment horizontal="left"/>
    </xf>
    <xf numFmtId="0" fontId="39" fillId="0" borderId="48" xfId="0" applyFont="1" applyBorder="1" applyAlignment="1">
      <alignment horizontal="left" vertical="center" wrapText="1"/>
    </xf>
    <xf numFmtId="168" fontId="39" fillId="0" borderId="48" xfId="0" applyNumberFormat="1" applyFont="1" applyBorder="1" applyAlignment="1">
      <alignment wrapText="1"/>
    </xf>
    <xf numFmtId="168" fontId="39" fillId="0" borderId="49" xfId="0" applyNumberFormat="1" applyFont="1" applyBorder="1" applyAlignment="1">
      <alignment wrapText="1"/>
    </xf>
    <xf numFmtId="0" fontId="40" fillId="0" borderId="54" xfId="0" applyFont="1" applyBorder="1"/>
    <xf numFmtId="0" fontId="39" fillId="7" borderId="55" xfId="0" applyFont="1" applyFill="1" applyBorder="1" applyAlignment="1">
      <alignment horizontal="left"/>
    </xf>
    <xf numFmtId="2" fontId="39" fillId="7" borderId="15" xfId="0" applyNumberFormat="1" applyFont="1" applyFill="1" applyBorder="1"/>
    <xf numFmtId="170" fontId="39" fillId="7" borderId="56" xfId="6" applyNumberFormat="1" applyFont="1" applyFill="1" applyBorder="1"/>
    <xf numFmtId="167" fontId="39" fillId="7" borderId="56" xfId="8" applyNumberFormat="1" applyFont="1" applyFill="1" applyBorder="1"/>
    <xf numFmtId="167" fontId="39" fillId="7" borderId="57" xfId="8" applyNumberFormat="1" applyFont="1" applyFill="1" applyBorder="1"/>
    <xf numFmtId="0" fontId="43" fillId="0" borderId="0" xfId="0" applyFont="1"/>
    <xf numFmtId="165" fontId="44" fillId="0" borderId="0" xfId="6" applyNumberFormat="1" applyFont="1"/>
    <xf numFmtId="0" fontId="40" fillId="0" borderId="61" xfId="0" applyFont="1" applyBorder="1"/>
    <xf numFmtId="0" fontId="39" fillId="0" borderId="48" xfId="0" applyFont="1" applyBorder="1" applyAlignment="1">
      <alignment horizontal="left" wrapText="1"/>
    </xf>
    <xf numFmtId="169" fontId="3" fillId="3" borderId="0" xfId="5" applyNumberFormat="1" applyFont="1" applyFill="1" applyAlignment="1">
      <alignment vertical="center" wrapText="1"/>
    </xf>
    <xf numFmtId="169" fontId="3" fillId="3" borderId="0" xfId="0" applyNumberFormat="1" applyFont="1" applyFill="1" applyAlignment="1">
      <alignment vertical="center" wrapText="1"/>
    </xf>
    <xf numFmtId="0" fontId="48" fillId="9" borderId="13" xfId="0" applyFont="1" applyFill="1" applyBorder="1" applyAlignment="1">
      <alignment horizontal="center" vertical="center"/>
    </xf>
    <xf numFmtId="0" fontId="0" fillId="0" borderId="1" xfId="0" applyBorder="1"/>
    <xf numFmtId="0" fontId="46" fillId="11" borderId="1" xfId="0" applyFont="1" applyFill="1" applyBorder="1" applyAlignment="1">
      <alignment horizontal="justify"/>
    </xf>
    <xf numFmtId="168" fontId="0" fillId="0" borderId="1" xfId="0" applyNumberFormat="1" applyBorder="1"/>
    <xf numFmtId="167" fontId="0" fillId="0" borderId="1" xfId="8" applyNumberFormat="1" applyFont="1" applyBorder="1"/>
    <xf numFmtId="0" fontId="50" fillId="12" borderId="1" xfId="0" applyFont="1" applyFill="1" applyBorder="1" applyAlignment="1">
      <alignment horizontal="center" vertical="center"/>
    </xf>
    <xf numFmtId="0" fontId="0" fillId="13" borderId="1" xfId="0" applyFill="1" applyBorder="1" applyAlignment="1">
      <alignment horizontal="center"/>
    </xf>
    <xf numFmtId="164" fontId="0" fillId="0" borderId="1" xfId="7" applyFont="1" applyBorder="1"/>
    <xf numFmtId="0" fontId="49" fillId="10" borderId="13" xfId="0" applyFont="1" applyFill="1" applyBorder="1" applyAlignment="1">
      <alignment horizontal="justify"/>
    </xf>
    <xf numFmtId="0" fontId="51" fillId="0" borderId="13" xfId="4" applyFont="1" applyBorder="1" applyAlignment="1">
      <alignment horizontal="justify" wrapText="1"/>
    </xf>
    <xf numFmtId="0" fontId="51" fillId="0" borderId="13" xfId="4" applyFont="1" applyBorder="1" applyAlignment="1">
      <alignment wrapText="1"/>
    </xf>
    <xf numFmtId="0" fontId="51" fillId="0" borderId="13" xfId="4" applyFont="1" applyBorder="1" applyAlignment="1">
      <alignment horizontal="left" wrapText="1"/>
    </xf>
    <xf numFmtId="0" fontId="24" fillId="0" borderId="13" xfId="0" applyFont="1" applyFill="1" applyBorder="1" applyAlignment="1">
      <alignment horizontal="justify"/>
    </xf>
    <xf numFmtId="0" fontId="24" fillId="3" borderId="13" xfId="0" applyFont="1" applyFill="1" applyBorder="1" applyAlignment="1">
      <alignment wrapText="1"/>
    </xf>
    <xf numFmtId="0" fontId="24" fillId="3" borderId="13" xfId="0" applyFont="1" applyFill="1" applyBorder="1" applyAlignment="1">
      <alignment horizontal="justify" wrapText="1"/>
    </xf>
    <xf numFmtId="0" fontId="24" fillId="0" borderId="13" xfId="0" applyFont="1" applyFill="1" applyBorder="1" applyAlignment="1">
      <alignment wrapText="1"/>
    </xf>
    <xf numFmtId="0" fontId="24" fillId="0" borderId="13" xfId="0" applyFont="1" applyFill="1" applyBorder="1" applyAlignment="1">
      <alignment horizontal="justify" wrapText="1"/>
    </xf>
    <xf numFmtId="0" fontId="49" fillId="12" borderId="13" xfId="0" applyFont="1" applyFill="1" applyBorder="1" applyAlignment="1">
      <alignment horizontal="left"/>
    </xf>
    <xf numFmtId="0" fontId="52" fillId="9" borderId="13" xfId="0" applyFont="1" applyFill="1" applyBorder="1" applyAlignment="1">
      <alignment horizontal="center" vertical="center"/>
    </xf>
    <xf numFmtId="168" fontId="53" fillId="10" borderId="13" xfId="0" applyNumberFormat="1" applyFont="1" applyFill="1" applyBorder="1" applyAlignment="1">
      <alignment horizontal="right"/>
    </xf>
    <xf numFmtId="167" fontId="27" fillId="10" borderId="13" xfId="8" applyNumberFormat="1" applyFont="1" applyFill="1" applyBorder="1" applyAlignment="1">
      <alignment horizontal="center"/>
    </xf>
    <xf numFmtId="167" fontId="27" fillId="10" borderId="13" xfId="8" applyNumberFormat="1" applyFont="1" applyFill="1" applyBorder="1" applyAlignment="1"/>
    <xf numFmtId="168" fontId="54" fillId="11" borderId="13" xfId="0" applyNumberFormat="1" applyFont="1" applyFill="1" applyBorder="1" applyAlignment="1"/>
    <xf numFmtId="167" fontId="27" fillId="11" borderId="13" xfId="8" applyNumberFormat="1" applyFont="1" applyFill="1" applyBorder="1" applyAlignment="1">
      <alignment horizontal="center"/>
    </xf>
    <xf numFmtId="167" fontId="27" fillId="11" borderId="13" xfId="8" applyNumberFormat="1" applyFont="1" applyFill="1" applyBorder="1" applyAlignment="1"/>
    <xf numFmtId="168" fontId="27" fillId="3" borderId="13" xfId="0" applyNumberFormat="1" applyFont="1" applyFill="1" applyBorder="1" applyAlignment="1"/>
    <xf numFmtId="168" fontId="27" fillId="10" borderId="13" xfId="0" applyNumberFormat="1" applyFont="1" applyFill="1" applyBorder="1" applyAlignment="1"/>
    <xf numFmtId="168" fontId="23" fillId="11" borderId="13" xfId="5" applyNumberFormat="1" applyFont="1" applyFill="1" applyBorder="1" applyAlignment="1"/>
    <xf numFmtId="168" fontId="27" fillId="12" borderId="13" xfId="0" applyNumberFormat="1" applyFont="1" applyFill="1" applyBorder="1" applyAlignment="1"/>
    <xf numFmtId="167" fontId="27" fillId="12" borderId="13" xfId="8" applyNumberFormat="1" applyFont="1" applyFill="1" applyBorder="1" applyAlignment="1">
      <alignment horizontal="center"/>
    </xf>
    <xf numFmtId="167" fontId="27" fillId="12" borderId="13" xfId="8" applyNumberFormat="1" applyFont="1" applyFill="1" applyBorder="1" applyAlignment="1"/>
    <xf numFmtId="0" fontId="57" fillId="0" borderId="1" xfId="4" applyFont="1" applyBorder="1" applyAlignment="1">
      <alignment horizontal="justify" vertical="center" wrapText="1"/>
    </xf>
    <xf numFmtId="0" fontId="57" fillId="0" borderId="1" xfId="4" applyFont="1" applyBorder="1" applyAlignment="1">
      <alignment horizontal="justify" wrapText="1"/>
    </xf>
    <xf numFmtId="0" fontId="57" fillId="0" borderId="1" xfId="4" applyFont="1" applyBorder="1" applyAlignment="1">
      <alignment vertical="center" wrapText="1"/>
    </xf>
    <xf numFmtId="0" fontId="57" fillId="0" borderId="1" xfId="4" applyFont="1" applyBorder="1" applyAlignment="1">
      <alignment horizontal="left" vertical="center" wrapText="1"/>
    </xf>
    <xf numFmtId="0" fontId="23" fillId="0" borderId="1" xfId="0" applyFont="1" applyFill="1" applyBorder="1" applyAlignment="1">
      <alignment horizontal="justify" vertical="center"/>
    </xf>
    <xf numFmtId="0" fontId="58" fillId="0" borderId="1" xfId="4" applyFont="1" applyBorder="1" applyAlignment="1">
      <alignment vertical="center" wrapText="1"/>
    </xf>
    <xf numFmtId="168" fontId="59" fillId="0" borderId="1" xfId="0" applyNumberFormat="1" applyFont="1" applyBorder="1" applyAlignment="1">
      <alignment vertical="center"/>
    </xf>
    <xf numFmtId="168" fontId="58" fillId="0" borderId="1" xfId="4" applyNumberFormat="1" applyFont="1" applyBorder="1" applyAlignment="1">
      <alignment vertical="center" wrapText="1"/>
    </xf>
    <xf numFmtId="168" fontId="59" fillId="0" borderId="9" xfId="0" applyNumberFormat="1" applyFont="1" applyBorder="1" applyAlignment="1">
      <alignment vertical="center"/>
    </xf>
    <xf numFmtId="169" fontId="58" fillId="0" borderId="1" xfId="5" applyNumberFormat="1" applyFont="1" applyBorder="1" applyAlignment="1">
      <alignment vertical="center" wrapText="1"/>
    </xf>
    <xf numFmtId="168" fontId="59" fillId="0" borderId="1" xfId="0" applyNumberFormat="1" applyFont="1" applyFill="1" applyBorder="1" applyAlignment="1">
      <alignment vertical="center" wrapText="1"/>
    </xf>
    <xf numFmtId="0" fontId="59" fillId="0" borderId="1" xfId="0" applyFont="1" applyFill="1" applyBorder="1" applyAlignment="1">
      <alignment vertical="center" wrapText="1"/>
    </xf>
    <xf numFmtId="169" fontId="59" fillId="0" borderId="1" xfId="5" applyNumberFormat="1" applyFont="1" applyFill="1" applyBorder="1" applyAlignment="1">
      <alignment vertical="center" wrapText="1"/>
    </xf>
    <xf numFmtId="168" fontId="59" fillId="0" borderId="1" xfId="0" applyNumberFormat="1" applyFont="1" applyFill="1" applyBorder="1" applyAlignment="1">
      <alignment wrapText="1"/>
    </xf>
    <xf numFmtId="169" fontId="59" fillId="0" borderId="1" xfId="0" applyNumberFormat="1" applyFont="1" applyFill="1" applyBorder="1" applyAlignment="1">
      <alignment vertical="center" wrapText="1"/>
    </xf>
    <xf numFmtId="168" fontId="59" fillId="3" borderId="1" xfId="0" applyNumberFormat="1" applyFont="1" applyFill="1" applyBorder="1" applyAlignment="1">
      <alignment vertical="center" wrapText="1"/>
    </xf>
    <xf numFmtId="170" fontId="59" fillId="3" borderId="1" xfId="0" applyNumberFormat="1" applyFont="1" applyFill="1" applyBorder="1" applyAlignment="1">
      <alignment vertical="center" wrapText="1"/>
    </xf>
    <xf numFmtId="170" fontId="59" fillId="0" borderId="1" xfId="0" applyNumberFormat="1" applyFont="1" applyFill="1" applyBorder="1" applyAlignment="1">
      <alignment vertical="center" wrapText="1"/>
    </xf>
    <xf numFmtId="0" fontId="23" fillId="3" borderId="3" xfId="0" applyFont="1" applyFill="1" applyBorder="1" applyAlignment="1">
      <alignment vertical="center" wrapText="1"/>
    </xf>
    <xf numFmtId="0" fontId="23" fillId="3" borderId="3" xfId="0" applyFont="1" applyFill="1" applyBorder="1" applyAlignment="1">
      <alignment horizontal="justify" vertical="center" wrapText="1"/>
    </xf>
    <xf numFmtId="0" fontId="23" fillId="0" borderId="3" xfId="0" applyFont="1" applyFill="1" applyBorder="1" applyAlignment="1">
      <alignment vertical="center" wrapText="1"/>
    </xf>
    <xf numFmtId="0" fontId="23" fillId="0" borderId="3" xfId="0" applyFont="1" applyFill="1" applyBorder="1" applyAlignment="1">
      <alignment horizontal="justify" vertical="center" wrapText="1"/>
    </xf>
    <xf numFmtId="41" fontId="59" fillId="0" borderId="1" xfId="5" applyFont="1" applyFill="1" applyBorder="1" applyAlignment="1">
      <alignment vertical="center" wrapText="1"/>
    </xf>
    <xf numFmtId="169" fontId="59" fillId="3" borderId="1" xfId="5" applyNumberFormat="1" applyFont="1" applyFill="1" applyBorder="1" applyAlignment="1">
      <alignment vertical="center" wrapText="1"/>
    </xf>
    <xf numFmtId="3" fontId="59" fillId="0" borderId="1" xfId="0" applyNumberFormat="1" applyFont="1" applyFill="1" applyBorder="1" applyAlignment="1">
      <alignment vertical="center" wrapText="1"/>
    </xf>
    <xf numFmtId="168" fontId="59" fillId="0" borderId="1" xfId="5" applyNumberFormat="1" applyFont="1" applyFill="1" applyBorder="1" applyAlignment="1">
      <alignment vertical="center" wrapText="1"/>
    </xf>
    <xf numFmtId="0" fontId="59" fillId="0" borderId="2" xfId="0" applyFont="1" applyFill="1" applyBorder="1" applyAlignment="1">
      <alignment vertical="center" wrapText="1"/>
    </xf>
    <xf numFmtId="169" fontId="59" fillId="3" borderId="1" xfId="0" applyNumberFormat="1" applyFont="1" applyFill="1" applyBorder="1" applyAlignment="1">
      <alignment vertical="center"/>
    </xf>
    <xf numFmtId="169" fontId="59" fillId="3" borderId="1" xfId="0" applyNumberFormat="1" applyFont="1" applyFill="1" applyBorder="1" applyAlignment="1">
      <alignment horizontal="center" vertical="center"/>
    </xf>
    <xf numFmtId="169" fontId="59" fillId="3" borderId="9" xfId="0" applyNumberFormat="1" applyFont="1" applyFill="1" applyBorder="1" applyAlignment="1">
      <alignment vertical="center"/>
    </xf>
    <xf numFmtId="0" fontId="61" fillId="2" borderId="1" xfId="0" applyFont="1" applyFill="1" applyBorder="1" applyAlignment="1">
      <alignment vertical="center"/>
    </xf>
    <xf numFmtId="169" fontId="61" fillId="2" borderId="1" xfId="0" applyNumberFormat="1" applyFont="1" applyFill="1" applyBorder="1" applyAlignment="1">
      <alignment vertical="center"/>
    </xf>
    <xf numFmtId="169" fontId="61" fillId="2" borderId="9" xfId="0" applyNumberFormat="1" applyFont="1" applyFill="1" applyBorder="1" applyAlignment="1">
      <alignment vertical="center"/>
    </xf>
    <xf numFmtId="169" fontId="60" fillId="2" borderId="13" xfId="0" applyNumberFormat="1" applyFont="1" applyFill="1" applyBorder="1" applyAlignment="1">
      <alignment vertical="center" wrapText="1"/>
    </xf>
    <xf numFmtId="169" fontId="38" fillId="2" borderId="13" xfId="7" applyNumberFormat="1" applyFont="1" applyFill="1" applyBorder="1" applyAlignment="1">
      <alignment vertical="center" wrapText="1"/>
    </xf>
    <xf numFmtId="49" fontId="60" fillId="3" borderId="1" xfId="10" applyNumberFormat="1" applyFont="1" applyFill="1" applyBorder="1"/>
    <xf numFmtId="0" fontId="60" fillId="3" borderId="1" xfId="10" applyFont="1" applyFill="1" applyBorder="1"/>
    <xf numFmtId="170" fontId="60" fillId="3" borderId="1" xfId="6" applyNumberFormat="1" applyFont="1" applyFill="1" applyBorder="1"/>
    <xf numFmtId="170" fontId="60" fillId="3" borderId="1" xfId="6" applyNumberFormat="1" applyFont="1" applyFill="1" applyBorder="1" applyAlignment="1">
      <alignment horizontal="center"/>
    </xf>
    <xf numFmtId="170" fontId="38" fillId="2" borderId="1" xfId="6" applyNumberFormat="1" applyFont="1" applyFill="1" applyBorder="1"/>
    <xf numFmtId="0" fontId="62" fillId="5" borderId="13" xfId="0" applyFont="1" applyFill="1" applyBorder="1" applyAlignment="1">
      <alignment horizontal="center" vertical="center"/>
    </xf>
    <xf numFmtId="169" fontId="64" fillId="0" borderId="2" xfId="0" applyNumberFormat="1" applyFont="1" applyBorder="1"/>
    <xf numFmtId="169" fontId="64" fillId="0" borderId="13" xfId="0" applyNumberFormat="1" applyFont="1" applyBorder="1"/>
    <xf numFmtId="169" fontId="64" fillId="0" borderId="1" xfId="0" applyNumberFormat="1" applyFont="1" applyBorder="1"/>
    <xf numFmtId="169" fontId="64" fillId="0" borderId="9" xfId="0" applyNumberFormat="1" applyFont="1" applyBorder="1"/>
    <xf numFmtId="169" fontId="64" fillId="0" borderId="22" xfId="0" applyNumberFormat="1" applyFont="1" applyBorder="1"/>
    <xf numFmtId="169" fontId="62" fillId="0" borderId="1" xfId="7" applyNumberFormat="1" applyFont="1" applyBorder="1"/>
    <xf numFmtId="0" fontId="23" fillId="0" borderId="2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57" fillId="0" borderId="1" xfId="4" applyFont="1" applyBorder="1" applyAlignment="1">
      <alignment horizontal="center" vertical="center" wrapText="1"/>
    </xf>
    <xf numFmtId="165" fontId="57" fillId="0" borderId="1" xfId="4" applyNumberFormat="1" applyFont="1" applyBorder="1" applyAlignment="1">
      <alignment horizontal="center" vertical="center" wrapText="1"/>
    </xf>
    <xf numFmtId="3" fontId="0" fillId="3" borderId="0" xfId="0" applyNumberFormat="1" applyFont="1" applyFill="1" applyAlignment="1">
      <alignment vertical="center" wrapText="1"/>
    </xf>
    <xf numFmtId="171" fontId="0" fillId="0" borderId="65" xfId="7" applyNumberFormat="1" applyFont="1" applyFill="1" applyBorder="1"/>
    <xf numFmtId="168" fontId="3" fillId="3" borderId="0" xfId="0" applyNumberFormat="1" applyFont="1" applyFill="1" applyAlignment="1">
      <alignment vertical="center" wrapText="1"/>
    </xf>
    <xf numFmtId="168" fontId="3" fillId="3" borderId="0" xfId="0" applyNumberFormat="1" applyFont="1" applyFill="1" applyBorder="1" applyAlignment="1">
      <alignment vertical="center" wrapText="1"/>
    </xf>
    <xf numFmtId="169" fontId="16" fillId="3" borderId="0" xfId="5" applyNumberFormat="1" applyFont="1" applyFill="1" applyAlignment="1">
      <alignment vertical="center" wrapText="1"/>
    </xf>
    <xf numFmtId="169" fontId="0" fillId="3" borderId="0" xfId="5" applyNumberFormat="1" applyFont="1" applyFill="1" applyAlignment="1">
      <alignment vertical="center" wrapText="1"/>
    </xf>
    <xf numFmtId="0" fontId="56" fillId="4" borderId="4" xfId="1" applyFont="1" applyAlignment="1">
      <alignment horizontal="center" vertical="center" wrapText="1"/>
    </xf>
    <xf numFmtId="0" fontId="18" fillId="6" borderId="5" xfId="3" applyFont="1" applyAlignment="1">
      <alignment horizontal="center" vertical="center" wrapText="1"/>
    </xf>
    <xf numFmtId="0" fontId="56" fillId="4" borderId="20" xfId="1" applyFont="1" applyBorder="1" applyAlignment="1">
      <alignment horizontal="center" vertical="center" wrapText="1"/>
    </xf>
    <xf numFmtId="0" fontId="38" fillId="0" borderId="9" xfId="0" applyFont="1" applyBorder="1" applyAlignment="1">
      <alignment horizontal="left"/>
    </xf>
    <xf numFmtId="0" fontId="38" fillId="0" borderId="18" xfId="0" applyFont="1" applyBorder="1" applyAlignment="1">
      <alignment horizontal="left"/>
    </xf>
    <xf numFmtId="0" fontId="60" fillId="0" borderId="9" xfId="0" applyFont="1" applyBorder="1" applyAlignment="1">
      <alignment horizontal="left" wrapText="1"/>
    </xf>
    <xf numFmtId="0" fontId="60" fillId="0" borderId="18" xfId="0" applyFont="1" applyBorder="1" applyAlignment="1">
      <alignment horizontal="left" wrapText="1"/>
    </xf>
    <xf numFmtId="0" fontId="3" fillId="3" borderId="0" xfId="0" applyFont="1" applyFill="1" applyAlignment="1">
      <alignment horizontal="center" vertical="center" wrapText="1"/>
    </xf>
    <xf numFmtId="0" fontId="0" fillId="3" borderId="0" xfId="0" applyFont="1" applyFill="1" applyAlignment="1">
      <alignment horizontal="left" vertical="center" wrapText="1"/>
    </xf>
    <xf numFmtId="0" fontId="29" fillId="2" borderId="28" xfId="0" applyFont="1" applyFill="1" applyBorder="1" applyAlignment="1">
      <alignment horizontal="center"/>
    </xf>
    <xf numFmtId="0" fontId="29" fillId="2" borderId="32" xfId="0" applyFont="1" applyFill="1" applyBorder="1" applyAlignment="1">
      <alignment horizontal="center"/>
    </xf>
    <xf numFmtId="0" fontId="29" fillId="2" borderId="29" xfId="0" applyFont="1" applyFill="1" applyBorder="1" applyAlignment="1">
      <alignment horizontal="center"/>
    </xf>
    <xf numFmtId="0" fontId="31" fillId="0" borderId="15" xfId="0" applyFont="1" applyBorder="1" applyAlignment="1">
      <alignment horizontal="center"/>
    </xf>
    <xf numFmtId="0" fontId="31" fillId="0" borderId="19" xfId="0" applyFont="1" applyBorder="1" applyAlignment="1">
      <alignment horizontal="center"/>
    </xf>
    <xf numFmtId="0" fontId="62" fillId="5" borderId="28" xfId="0" applyFont="1" applyFill="1" applyBorder="1" applyAlignment="1">
      <alignment horizontal="center" vertical="center"/>
    </xf>
    <xf numFmtId="0" fontId="62" fillId="5" borderId="29" xfId="0" applyFont="1" applyFill="1" applyBorder="1" applyAlignment="1">
      <alignment horizontal="center" vertical="center"/>
    </xf>
    <xf numFmtId="0" fontId="28" fillId="5" borderId="28" xfId="0" applyFont="1" applyFill="1" applyBorder="1" applyAlignment="1">
      <alignment horizontal="center"/>
    </xf>
    <xf numFmtId="0" fontId="28" fillId="5" borderId="32" xfId="0" applyFont="1" applyFill="1" applyBorder="1" applyAlignment="1">
      <alignment horizontal="center"/>
    </xf>
    <xf numFmtId="0" fontId="28" fillId="5" borderId="29" xfId="0" applyFont="1" applyFill="1" applyBorder="1" applyAlignment="1">
      <alignment horizontal="center"/>
    </xf>
    <xf numFmtId="0" fontId="19" fillId="6" borderId="33" xfId="3" applyFont="1" applyBorder="1" applyAlignment="1">
      <alignment horizontal="center" vertical="center" wrapText="1"/>
    </xf>
    <xf numFmtId="0" fontId="19" fillId="6" borderId="34" xfId="3" applyFont="1" applyBorder="1" applyAlignment="1">
      <alignment horizontal="center" vertical="center" wrapText="1"/>
    </xf>
    <xf numFmtId="0" fontId="19" fillId="6" borderId="35" xfId="3" applyFont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25" fillId="0" borderId="25" xfId="4" applyFont="1" applyBorder="1" applyAlignment="1">
      <alignment horizontal="center" vertical="center" wrapText="1"/>
    </xf>
    <xf numFmtId="0" fontId="56" fillId="4" borderId="4" xfId="1" applyFont="1" applyAlignment="1">
      <alignment horizontal="center" vertical="center" wrapText="1"/>
    </xf>
    <xf numFmtId="0" fontId="55" fillId="4" borderId="4" xfId="1" applyFont="1" applyAlignment="1">
      <alignment horizontal="center" vertical="center" wrapText="1"/>
    </xf>
    <xf numFmtId="0" fontId="18" fillId="6" borderId="5" xfId="3" applyFont="1" applyAlignment="1">
      <alignment horizontal="center" vertical="center" wrapText="1"/>
    </xf>
    <xf numFmtId="0" fontId="19" fillId="6" borderId="5" xfId="3" applyFont="1" applyAlignment="1">
      <alignment horizontal="center" vertical="center" wrapText="1"/>
    </xf>
    <xf numFmtId="0" fontId="13" fillId="5" borderId="5" xfId="2" applyAlignment="1">
      <alignment horizontal="center" vertical="center" wrapText="1"/>
    </xf>
    <xf numFmtId="0" fontId="3" fillId="3" borderId="25" xfId="0" applyFont="1" applyFill="1" applyBorder="1" applyAlignment="1">
      <alignment horizontal="center" vertical="center" wrapText="1"/>
    </xf>
    <xf numFmtId="0" fontId="63" fillId="5" borderId="23" xfId="2" applyFont="1" applyBorder="1" applyAlignment="1">
      <alignment horizontal="center" vertical="center" wrapText="1"/>
    </xf>
    <xf numFmtId="0" fontId="63" fillId="5" borderId="21" xfId="2" applyFont="1" applyBorder="1" applyAlignment="1">
      <alignment horizontal="center" vertical="center" wrapText="1"/>
    </xf>
    <xf numFmtId="0" fontId="60" fillId="0" borderId="9" xfId="0" applyFont="1" applyBorder="1" applyAlignment="1">
      <alignment horizontal="left"/>
    </xf>
    <xf numFmtId="0" fontId="60" fillId="0" borderId="18" xfId="0" applyFont="1" applyBorder="1" applyAlignment="1">
      <alignment horizontal="left"/>
    </xf>
    <xf numFmtId="0" fontId="32" fillId="5" borderId="23" xfId="2" applyFont="1" applyBorder="1" applyAlignment="1">
      <alignment horizontal="center" vertical="center" wrapText="1"/>
    </xf>
    <xf numFmtId="0" fontId="32" fillId="5" borderId="21" xfId="2" applyFont="1" applyBorder="1" applyAlignment="1">
      <alignment horizontal="center" vertical="center" wrapText="1"/>
    </xf>
    <xf numFmtId="0" fontId="26" fillId="2" borderId="9" xfId="0" applyFont="1" applyFill="1" applyBorder="1" applyAlignment="1">
      <alignment horizontal="center" vertical="center" wrapText="1"/>
    </xf>
    <xf numFmtId="0" fontId="26" fillId="2" borderId="26" xfId="0" applyFont="1" applyFill="1" applyBorder="1" applyAlignment="1">
      <alignment horizontal="center" vertical="center" wrapText="1"/>
    </xf>
    <xf numFmtId="49" fontId="38" fillId="2" borderId="9" xfId="10" applyNumberFormat="1" applyFont="1" applyFill="1" applyBorder="1" applyAlignment="1">
      <alignment horizontal="center"/>
    </xf>
    <xf numFmtId="49" fontId="38" fillId="2" borderId="18" xfId="10" applyNumberFormat="1" applyFont="1" applyFill="1" applyBorder="1" applyAlignment="1">
      <alignment horizontal="center"/>
    </xf>
    <xf numFmtId="170" fontId="38" fillId="2" borderId="12" xfId="0" applyNumberFormat="1" applyFont="1" applyFill="1" applyBorder="1" applyAlignment="1">
      <alignment horizontal="center" vertical="center"/>
    </xf>
    <xf numFmtId="170" fontId="38" fillId="2" borderId="2" xfId="0" applyNumberFormat="1" applyFont="1" applyFill="1" applyBorder="1" applyAlignment="1">
      <alignment horizontal="center" vertical="center"/>
    </xf>
    <xf numFmtId="0" fontId="38" fillId="2" borderId="9" xfId="0" applyFont="1" applyFill="1" applyBorder="1" applyAlignment="1">
      <alignment horizontal="center" vertical="center"/>
    </xf>
    <xf numFmtId="0" fontId="38" fillId="2" borderId="24" xfId="0" applyFont="1" applyFill="1" applyBorder="1" applyAlignment="1">
      <alignment horizontal="center" vertical="center"/>
    </xf>
    <xf numFmtId="0" fontId="38" fillId="2" borderId="18" xfId="0" applyFont="1" applyFill="1" applyBorder="1" applyAlignment="1">
      <alignment horizontal="center" vertical="center"/>
    </xf>
    <xf numFmtId="0" fontId="37" fillId="0" borderId="25" xfId="0" applyFont="1" applyBorder="1" applyAlignment="1">
      <alignment horizontal="left" indent="1"/>
    </xf>
    <xf numFmtId="0" fontId="60" fillId="0" borderId="30" xfId="0" applyFont="1" applyBorder="1" applyAlignment="1">
      <alignment horizontal="left" wrapText="1"/>
    </xf>
    <xf numFmtId="0" fontId="60" fillId="0" borderId="31" xfId="0" applyFont="1" applyBorder="1" applyAlignment="1">
      <alignment horizontal="left" wrapText="1"/>
    </xf>
    <xf numFmtId="0" fontId="21" fillId="3" borderId="0" xfId="0" applyFont="1" applyFill="1" applyAlignment="1">
      <alignment horizontal="center"/>
    </xf>
    <xf numFmtId="0" fontId="22" fillId="3" borderId="0" xfId="0" applyFont="1" applyFill="1" applyAlignment="1">
      <alignment horizontal="center" vertical="center"/>
    </xf>
    <xf numFmtId="0" fontId="17" fillId="3" borderId="16" xfId="0" applyFont="1" applyFill="1" applyBorder="1" applyAlignment="1">
      <alignment horizontal="left" vertical="center" wrapText="1"/>
    </xf>
    <xf numFmtId="0" fontId="55" fillId="4" borderId="14" xfId="1" applyFont="1" applyBorder="1" applyAlignment="1">
      <alignment horizontal="center" vertical="center" wrapText="1"/>
    </xf>
    <xf numFmtId="0" fontId="55" fillId="4" borderId="0" xfId="1" applyFont="1" applyBorder="1" applyAlignment="1">
      <alignment horizontal="center" vertical="center" wrapText="1"/>
    </xf>
    <xf numFmtId="0" fontId="55" fillId="4" borderId="15" xfId="1" applyFont="1" applyBorder="1" applyAlignment="1">
      <alignment horizontal="center" vertical="center" wrapText="1"/>
    </xf>
    <xf numFmtId="0" fontId="56" fillId="4" borderId="20" xfId="1" applyFont="1" applyBorder="1" applyAlignment="1">
      <alignment horizontal="center" vertical="center" wrapText="1"/>
    </xf>
    <xf numFmtId="0" fontId="55" fillId="4" borderId="6" xfId="1" applyFont="1" applyBorder="1" applyAlignment="1">
      <alignment horizontal="center" vertical="center" wrapText="1"/>
    </xf>
    <xf numFmtId="0" fontId="55" fillId="4" borderId="7" xfId="1" applyFont="1" applyBorder="1" applyAlignment="1">
      <alignment horizontal="center" vertical="center" wrapText="1"/>
    </xf>
    <xf numFmtId="0" fontId="55" fillId="4" borderId="8" xfId="1" applyFont="1" applyBorder="1" applyAlignment="1">
      <alignment horizontal="center" vertical="center" wrapText="1"/>
    </xf>
    <xf numFmtId="0" fontId="20" fillId="5" borderId="10" xfId="2" applyFont="1" applyFill="1" applyBorder="1" applyAlignment="1">
      <alignment horizontal="center" vertical="center" wrapText="1"/>
    </xf>
    <xf numFmtId="0" fontId="20" fillId="5" borderId="11" xfId="2" applyFont="1" applyFill="1" applyBorder="1" applyAlignment="1">
      <alignment horizontal="center" vertical="center" wrapText="1"/>
    </xf>
    <xf numFmtId="0" fontId="13" fillId="5" borderId="5" xfId="2" applyFont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 readingOrder="1"/>
    </xf>
    <xf numFmtId="0" fontId="39" fillId="7" borderId="41" xfId="0" applyFont="1" applyFill="1" applyBorder="1" applyAlignment="1">
      <alignment horizontal="center" vertical="center"/>
    </xf>
    <xf numFmtId="0" fontId="39" fillId="7" borderId="44" xfId="0" applyFont="1" applyFill="1" applyBorder="1" applyAlignment="1">
      <alignment horizontal="center" vertical="center"/>
    </xf>
    <xf numFmtId="0" fontId="39" fillId="7" borderId="42" xfId="0" applyFont="1" applyFill="1" applyBorder="1" applyAlignment="1">
      <alignment horizontal="center" vertical="center"/>
    </xf>
    <xf numFmtId="0" fontId="39" fillId="7" borderId="45" xfId="0" applyFont="1" applyFill="1" applyBorder="1" applyAlignment="1">
      <alignment horizontal="center" vertical="center"/>
    </xf>
    <xf numFmtId="0" fontId="42" fillId="0" borderId="58" xfId="0" applyFont="1" applyBorder="1" applyAlignment="1">
      <alignment horizontal="left"/>
    </xf>
    <xf numFmtId="0" fontId="42" fillId="0" borderId="59" xfId="0" applyFont="1" applyBorder="1" applyAlignment="1">
      <alignment horizontal="left"/>
    </xf>
    <xf numFmtId="0" fontId="42" fillId="0" borderId="60" xfId="0" applyFont="1" applyBorder="1" applyAlignment="1">
      <alignment horizontal="left"/>
    </xf>
    <xf numFmtId="0" fontId="39" fillId="7" borderId="39" xfId="0" applyFont="1" applyFill="1" applyBorder="1" applyAlignment="1">
      <alignment horizontal="center" vertical="center"/>
    </xf>
    <xf numFmtId="0" fontId="39" fillId="7" borderId="43" xfId="0" applyFont="1" applyFill="1" applyBorder="1" applyAlignment="1">
      <alignment horizontal="center" vertical="center"/>
    </xf>
    <xf numFmtId="0" fontId="39" fillId="3" borderId="0" xfId="0" applyFont="1" applyFill="1" applyAlignment="1">
      <alignment horizontal="left"/>
    </xf>
    <xf numFmtId="0" fontId="39" fillId="0" borderId="5" xfId="0" applyFont="1" applyBorder="1" applyAlignment="1">
      <alignment horizontal="left"/>
    </xf>
    <xf numFmtId="0" fontId="41" fillId="0" borderId="37" xfId="0" applyFont="1" applyBorder="1" applyAlignment="1">
      <alignment horizontal="left"/>
    </xf>
    <xf numFmtId="0" fontId="39" fillId="0" borderId="37" xfId="0" applyFont="1" applyBorder="1" applyAlignment="1">
      <alignment horizontal="left"/>
    </xf>
    <xf numFmtId="0" fontId="45" fillId="0" borderId="62" xfId="0" applyFont="1" applyBorder="1" applyAlignment="1">
      <alignment horizontal="left"/>
    </xf>
    <xf numFmtId="0" fontId="45" fillId="0" borderId="63" xfId="0" applyFont="1" applyBorder="1" applyAlignment="1">
      <alignment horizontal="left"/>
    </xf>
    <xf numFmtId="0" fontId="45" fillId="8" borderId="64" xfId="0" applyFont="1" applyFill="1" applyBorder="1" applyAlignment="1">
      <alignment horizontal="left"/>
    </xf>
    <xf numFmtId="0" fontId="45" fillId="8" borderId="0" xfId="0" applyFont="1" applyFill="1" applyBorder="1" applyAlignment="1">
      <alignment horizontal="left"/>
    </xf>
    <xf numFmtId="0" fontId="24" fillId="0" borderId="64" xfId="0" applyFont="1" applyBorder="1" applyAlignment="1">
      <alignment horizontal="left"/>
    </xf>
    <xf numFmtId="0" fontId="24" fillId="0" borderId="0" xfId="0" applyFont="1" applyBorder="1" applyAlignment="1">
      <alignment horizontal="left"/>
    </xf>
    <xf numFmtId="0" fontId="47" fillId="8" borderId="0" xfId="0" applyFont="1" applyFill="1" applyAlignment="1">
      <alignment horizontal="left"/>
    </xf>
  </cellXfs>
  <cellStyles count="11">
    <cellStyle name="KPT06_alter" xfId="2" xr:uid="{00000000-0005-0000-0000-000000000000}"/>
    <cellStyle name="KPT06_contrast" xfId="3" xr:uid="{00000000-0005-0000-0000-000001000000}"/>
    <cellStyle name="KPT06_fill" xfId="4" xr:uid="{00000000-0005-0000-0000-000002000000}"/>
    <cellStyle name="KPT06_Main" xfId="1" xr:uid="{00000000-0005-0000-0000-000003000000}"/>
    <cellStyle name="Millares" xfId="6" builtinId="3"/>
    <cellStyle name="Millares [0]" xfId="5" builtinId="6"/>
    <cellStyle name="Millares 10" xfId="9" xr:uid="{00000000-0005-0000-0000-000006000000}"/>
    <cellStyle name="Moneda [0]" xfId="7" builtinId="7"/>
    <cellStyle name="Normal" xfId="0" builtinId="0"/>
    <cellStyle name="Normal 10" xfId="10" xr:uid="{00000000-0005-0000-0000-000009000000}"/>
    <cellStyle name="Porcentaje" xfId="8" builtinId="5"/>
  </cellStyles>
  <dxfs count="0"/>
  <tableStyles count="0" defaultTableStyle="TableStyleMedium2" defaultPivotStyle="PivotStyleLight16"/>
  <colors>
    <mruColors>
      <color rgb="FF7BCBE5"/>
      <color rgb="FF6EBACC"/>
      <color rgb="FF39727F"/>
      <color rgb="FF1C2F33"/>
      <color rgb="FF7D6E99"/>
      <color rgb="FF522B57"/>
      <color rgb="FFECECE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cap="none" spc="2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000">
                <a:solidFill>
                  <a:schemeClr val="tx1"/>
                </a:solidFill>
              </a:rPr>
              <a:t>Gráfico 1</a:t>
            </a:r>
          </a:p>
          <a:p>
            <a:pPr>
              <a:defRPr sz="1000">
                <a:solidFill>
                  <a:schemeClr val="tx1"/>
                </a:solidFill>
              </a:defRPr>
            </a:pPr>
            <a:r>
              <a:rPr lang="en-US" sz="1000">
                <a:solidFill>
                  <a:schemeClr val="tx1"/>
                </a:solidFill>
              </a:rPr>
              <a:t>Tolima. Fuentes de Financiación de la Inversión </a:t>
            </a:r>
          </a:p>
          <a:p>
            <a:pPr>
              <a:defRPr sz="1000">
                <a:solidFill>
                  <a:schemeClr val="tx1"/>
                </a:solidFill>
              </a:defRPr>
            </a:pPr>
            <a:r>
              <a:rPr lang="en-US" sz="1000">
                <a:solidFill>
                  <a:schemeClr val="tx1"/>
                </a:solidFill>
              </a:rPr>
              <a:t>2020 - 2023</a:t>
            </a:r>
          </a:p>
        </c:rich>
      </c:tx>
      <c:layout>
        <c:manualLayout>
          <c:xMode val="edge"/>
          <c:yMode val="edge"/>
          <c:x val="0.32201102555019923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cap="none" spc="2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6.0295231042754589E-2"/>
          <c:y val="0.24497097909945603"/>
          <c:w val="0.86894502811490326"/>
          <c:h val="0.75459056452855666"/>
        </c:manualLayout>
      </c:layout>
      <c:pie3DChart>
        <c:varyColors val="1"/>
        <c:ser>
          <c:idx val="0"/>
          <c:order val="0"/>
          <c:cat>
            <c:strRef>
              <c:f>'INV. POR FUENTES'!$A$21:$A$28</c:f>
              <c:strCache>
                <c:ptCount val="8"/>
                <c:pt idx="0">
                  <c:v>INGRESOS CORRIENTES DE LIBE DESTINACION -  ICLD</c:v>
                </c:pt>
                <c:pt idx="1">
                  <c:v>INGRESOS CORRIENTES DE DESTINACION ESPECIFICA - ICDE</c:v>
                </c:pt>
                <c:pt idx="2">
                  <c:v>SISTEMA GENERAL DE PARTICIPACIONES -  SGP </c:v>
                </c:pt>
                <c:pt idx="3">
                  <c:v>OTROS (Rentas Cedidas)</c:v>
                </c:pt>
                <c:pt idx="4">
                  <c:v>NACION</c:v>
                </c:pt>
                <c:pt idx="5">
                  <c:v>RECURSOS CREDITO</c:v>
                </c:pt>
                <c:pt idx="6">
                  <c:v>OTROS  - FOMETOL</c:v>
                </c:pt>
                <c:pt idx="7">
                  <c:v>SISTEMA GENERAL DE REGALIAS  - SGR</c:v>
                </c:pt>
              </c:strCache>
            </c:strRef>
          </c:cat>
          <c:val>
            <c:numRef>
              <c:f>'INV. POR FUENTES'!$B$21:$B$28</c:f>
            </c:numRef>
          </c:val>
          <c:extLst>
            <c:ext xmlns:c16="http://schemas.microsoft.com/office/drawing/2014/chart" uri="{C3380CC4-5D6E-409C-BE32-E72D297353CC}">
              <c16:uniqueId val="{00000000-BEA9-3747-B189-F953194C955E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2-BEA9-3747-B189-F953194C955E}"/>
              </c:ext>
            </c:extLst>
          </c:dPt>
          <c:dPt>
            <c:idx val="1"/>
            <c:bubble3D val="0"/>
            <c:spPr>
              <a:solidFill>
                <a:schemeClr val="accent4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4-BEA9-3747-B189-F953194C955E}"/>
              </c:ext>
            </c:extLst>
          </c:dPt>
          <c:dPt>
            <c:idx val="2"/>
            <c:bubble3D val="0"/>
            <c:explosion val="1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6-BEA9-3747-B189-F953194C955E}"/>
              </c:ext>
            </c:extLst>
          </c:dPt>
          <c:dPt>
            <c:idx val="3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8-BEA9-3747-B189-F953194C955E}"/>
              </c:ext>
            </c:extLst>
          </c:dPt>
          <c:dPt>
            <c:idx val="4"/>
            <c:bubble3D val="0"/>
            <c:spPr>
              <a:solidFill>
                <a:schemeClr val="accent6">
                  <a:lumMod val="20000"/>
                  <a:lumOff val="8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A-BEA9-3747-B189-F953194C955E}"/>
              </c:ext>
            </c:extLst>
          </c:dPt>
          <c:dPt>
            <c:idx val="5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C-BEA9-3747-B189-F953194C955E}"/>
              </c:ext>
            </c:extLst>
          </c:dPt>
          <c:dPt>
            <c:idx val="6"/>
            <c:bubble3D val="0"/>
            <c:spPr>
              <a:solidFill>
                <a:schemeClr val="accent5">
                  <a:lumMod val="5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E-BEA9-3747-B189-F953194C955E}"/>
              </c:ext>
            </c:extLst>
          </c:dPt>
          <c:dPt>
            <c:idx val="7"/>
            <c:bubble3D val="0"/>
            <c:spPr>
              <a:solidFill>
                <a:schemeClr val="accent2">
                  <a:lumMod val="75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0-BEA9-3747-B189-F953194C955E}"/>
              </c:ext>
            </c:extLst>
          </c:dPt>
          <c:dPt>
            <c:idx val="8"/>
            <c:bubble3D val="0"/>
            <c:spPr>
              <a:solidFill>
                <a:schemeClr val="accent2">
                  <a:lumMod val="75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2-BEA9-3747-B189-F953194C955E}"/>
              </c:ext>
            </c:extLst>
          </c:dPt>
          <c:dLbls>
            <c:dLbl>
              <c:idx val="0"/>
              <c:layout>
                <c:manualLayout>
                  <c:x val="0.10138051058539131"/>
                  <c:y val="2.2710503296405116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EA9-3747-B189-F953194C955E}"/>
                </c:ext>
              </c:extLst>
            </c:dLbl>
            <c:dLbl>
              <c:idx val="1"/>
              <c:layout>
                <c:manualLayout>
                  <c:x val="8.6381062507685694E-2"/>
                  <c:y val="7.5307880924575063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EA9-3747-B189-F953194C955E}"/>
                </c:ext>
              </c:extLst>
            </c:dLbl>
            <c:dLbl>
              <c:idx val="2"/>
              <c:layout>
                <c:manualLayout>
                  <c:x val="0.21029988952743484"/>
                  <c:y val="-1.2285490617923903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EA9-3747-B189-F953194C955E}"/>
                </c:ext>
              </c:extLst>
            </c:dLbl>
            <c:dLbl>
              <c:idx val="3"/>
              <c:layout>
                <c:manualLayout>
                  <c:x val="-1.8017084795528837E-3"/>
                  <c:y val="6.9393191081217442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800" b="1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8526867161932487"/>
                      <c:h val="0.2497632987412934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8-BEA9-3747-B189-F953194C955E}"/>
                </c:ext>
              </c:extLst>
            </c:dLbl>
            <c:dLbl>
              <c:idx val="4"/>
              <c:layout>
                <c:manualLayout>
                  <c:x val="-5.4312730343233834E-2"/>
                  <c:y val="3.1731380513171731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800" b="1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2962168841903401"/>
                      <c:h val="0.103784584079310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A-BEA9-3747-B189-F953194C955E}"/>
                </c:ext>
              </c:extLst>
            </c:dLbl>
            <c:dLbl>
              <c:idx val="5"/>
              <c:layout>
                <c:manualLayout>
                  <c:x val="-6.1409127473156251E-2"/>
                  <c:y val="-3.4438068188826056E-3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BEA9-3747-B189-F953194C955E}"/>
                </c:ext>
              </c:extLst>
            </c:dLbl>
            <c:dLbl>
              <c:idx val="6"/>
              <c:layout>
                <c:manualLayout>
                  <c:x val="-4.3297643197403549E-2"/>
                  <c:y val="-3.6534340485600975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BEA9-3747-B189-F953194C955E}"/>
                </c:ext>
              </c:extLst>
            </c:dLbl>
            <c:dLbl>
              <c:idx val="7"/>
              <c:layout>
                <c:manualLayout>
                  <c:x val="-8.4379667660965912E-2"/>
                  <c:y val="-5.3275256175454221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BEA9-3747-B189-F953194C955E}"/>
                </c:ext>
              </c:extLst>
            </c:dLbl>
            <c:dLbl>
              <c:idx val="8"/>
              <c:layout>
                <c:manualLayout>
                  <c:x val="-6.5313640701258294E-2"/>
                  <c:y val="-2.8139690180740133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BEA9-3747-B189-F953194C955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'INV. POR FUENTES'!$A$21:$A$28</c:f>
              <c:strCache>
                <c:ptCount val="8"/>
                <c:pt idx="0">
                  <c:v>INGRESOS CORRIENTES DE LIBE DESTINACION -  ICLD</c:v>
                </c:pt>
                <c:pt idx="1">
                  <c:v>INGRESOS CORRIENTES DE DESTINACION ESPECIFICA - ICDE</c:v>
                </c:pt>
                <c:pt idx="2">
                  <c:v>SISTEMA GENERAL DE PARTICIPACIONES -  SGP </c:v>
                </c:pt>
                <c:pt idx="3">
                  <c:v>OTROS (Rentas Cedidas)</c:v>
                </c:pt>
                <c:pt idx="4">
                  <c:v>NACION</c:v>
                </c:pt>
                <c:pt idx="5">
                  <c:v>RECURSOS CREDITO</c:v>
                </c:pt>
                <c:pt idx="6">
                  <c:v>OTROS  - FOMETOL</c:v>
                </c:pt>
                <c:pt idx="7">
                  <c:v>SISTEMA GENERAL DE REGALIAS  - SGR</c:v>
                </c:pt>
              </c:strCache>
            </c:strRef>
          </c:cat>
          <c:val>
            <c:numRef>
              <c:f>'INV. POR FUENTES'!$C$21:$C$28</c:f>
              <c:numCache>
                <c:formatCode>#,##0.0</c:formatCode>
                <c:ptCount val="8"/>
                <c:pt idx="0">
                  <c:v>286401.05839199998</c:v>
                </c:pt>
                <c:pt idx="1">
                  <c:v>193957.32086800001</c:v>
                </c:pt>
                <c:pt idx="2">
                  <c:v>1985955.3425495001</c:v>
                </c:pt>
                <c:pt idx="3">
                  <c:v>121884.082230856</c:v>
                </c:pt>
                <c:pt idx="4">
                  <c:v>60000</c:v>
                </c:pt>
                <c:pt idx="5">
                  <c:v>150000</c:v>
                </c:pt>
                <c:pt idx="6">
                  <c:v>18738.510999999999</c:v>
                </c:pt>
                <c:pt idx="7">
                  <c:v>363137.59960799996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BEA9-3747-B189-F953194C955E}"/>
            </c:ext>
          </c:extLst>
        </c:ser>
        <c:ser>
          <c:idx val="2"/>
          <c:order val="2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1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1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5-BEA9-3747-B189-F953194C955E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2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2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7-BEA9-3747-B189-F953194C955E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3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3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9-BEA9-3747-B189-F953194C955E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4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4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B-BEA9-3747-B189-F953194C955E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5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5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D-BEA9-3747-B189-F953194C955E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6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6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F-BEA9-3747-B189-F953194C955E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1">
                      <a:lumMod val="60000"/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1">
                      <a:lumMod val="60000"/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21-BEA9-3747-B189-F953194C955E}"/>
              </c:ext>
            </c:extLst>
          </c:dPt>
          <c:dPt>
            <c:idx val="7"/>
            <c:bubble3D val="0"/>
            <c:spPr>
              <a:gradFill rotWithShape="1">
                <a:gsLst>
                  <a:gs pos="0">
                    <a:schemeClr val="accent2">
                      <a:lumMod val="60000"/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2">
                      <a:lumMod val="60000"/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2">
                      <a:lumMod val="60000"/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23-BEA9-3747-B189-F953194C955E}"/>
              </c:ext>
            </c:extLst>
          </c:dPt>
          <c:dPt>
            <c:idx val="8"/>
            <c:bubble3D val="0"/>
            <c:spPr>
              <a:gradFill rotWithShape="1">
                <a:gsLst>
                  <a:gs pos="0">
                    <a:schemeClr val="accent3">
                      <a:lumMod val="60000"/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3">
                      <a:lumMod val="60000"/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3">
                      <a:lumMod val="60000"/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25-BEA9-3747-B189-F953194C955E}"/>
              </c:ext>
            </c:extLst>
          </c:dPt>
          <c:cat>
            <c:strRef>
              <c:f>'INV. POR FUENTES'!$A$21:$A$28</c:f>
              <c:strCache>
                <c:ptCount val="8"/>
                <c:pt idx="0">
                  <c:v>INGRESOS CORRIENTES DE LIBE DESTINACION -  ICLD</c:v>
                </c:pt>
                <c:pt idx="1">
                  <c:v>INGRESOS CORRIENTES DE DESTINACION ESPECIFICA - ICDE</c:v>
                </c:pt>
                <c:pt idx="2">
                  <c:v>SISTEMA GENERAL DE PARTICIPACIONES -  SGP </c:v>
                </c:pt>
                <c:pt idx="3">
                  <c:v>OTROS (Rentas Cedidas)</c:v>
                </c:pt>
                <c:pt idx="4">
                  <c:v>NACION</c:v>
                </c:pt>
                <c:pt idx="5">
                  <c:v>RECURSOS CREDITO</c:v>
                </c:pt>
                <c:pt idx="6">
                  <c:v>OTROS  - FOMETOL</c:v>
                </c:pt>
                <c:pt idx="7">
                  <c:v>SISTEMA GENERAL DE REGALIAS  - SGR</c:v>
                </c:pt>
              </c:strCache>
            </c:strRef>
          </c:cat>
          <c:val>
            <c:numRef>
              <c:f>'INV. POR FUENTES'!$D$21:$D$28</c:f>
              <c:numCache>
                <c:formatCode>0.0%</c:formatCode>
                <c:ptCount val="8"/>
                <c:pt idx="0">
                  <c:v>9.0061120281583404E-2</c:v>
                </c:pt>
                <c:pt idx="1">
                  <c:v>6.099144809128166E-2</c:v>
                </c:pt>
                <c:pt idx="2">
                  <c:v>0.6244997718134645</c:v>
                </c:pt>
                <c:pt idx="3">
                  <c:v>3.8327413606797846E-2</c:v>
                </c:pt>
                <c:pt idx="4">
                  <c:v>1.8867487253518684E-2</c:v>
                </c:pt>
                <c:pt idx="5">
                  <c:v>4.7168718133796708E-2</c:v>
                </c:pt>
                <c:pt idx="6">
                  <c:v>5.8924734983343309E-3</c:v>
                </c:pt>
                <c:pt idx="7">
                  <c:v>0.11419156732122276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6-BEA9-3747-B189-F953194C95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cap="none" spc="2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000">
                <a:solidFill>
                  <a:schemeClr val="tx1"/>
                </a:solidFill>
              </a:rPr>
              <a:t>Gráfico 1</a:t>
            </a:r>
          </a:p>
          <a:p>
            <a:pPr>
              <a:defRPr sz="1000">
                <a:solidFill>
                  <a:schemeClr val="tx1"/>
                </a:solidFill>
              </a:defRPr>
            </a:pPr>
            <a:r>
              <a:rPr lang="en-US" sz="1000">
                <a:solidFill>
                  <a:schemeClr val="tx1"/>
                </a:solidFill>
              </a:rPr>
              <a:t>Tolima. Fuentes de Financiación de la Inversión </a:t>
            </a:r>
          </a:p>
          <a:p>
            <a:pPr>
              <a:defRPr sz="1000">
                <a:solidFill>
                  <a:schemeClr val="tx1"/>
                </a:solidFill>
              </a:defRPr>
            </a:pPr>
            <a:r>
              <a:rPr lang="en-US" sz="1000">
                <a:solidFill>
                  <a:schemeClr val="tx1"/>
                </a:solidFill>
              </a:rPr>
              <a:t>2020 - 2023</a:t>
            </a:r>
          </a:p>
        </c:rich>
      </c:tx>
      <c:layout>
        <c:manualLayout>
          <c:xMode val="edge"/>
          <c:yMode val="edge"/>
          <c:x val="0.32201102555019923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cap="none" spc="2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6.0295231042754589E-2"/>
          <c:y val="0.24497097909945603"/>
          <c:w val="0.86894502811490326"/>
          <c:h val="0.75459056452855666"/>
        </c:manualLayout>
      </c:layout>
      <c:pie3DChart>
        <c:varyColors val="1"/>
        <c:ser>
          <c:idx val="0"/>
          <c:order val="0"/>
          <c:cat>
            <c:strRef>
              <c:f>'INV. POR FUENTES'!$A$21:$A$28</c:f>
              <c:strCache>
                <c:ptCount val="8"/>
                <c:pt idx="0">
                  <c:v>INGRESOS CORRIENTES DE LIBE DESTINACION -  ICLD</c:v>
                </c:pt>
                <c:pt idx="1">
                  <c:v>INGRESOS CORRIENTES DE DESTINACION ESPECIFICA - ICDE</c:v>
                </c:pt>
                <c:pt idx="2">
                  <c:v>SISTEMA GENERAL DE PARTICIPACIONES -  SGP </c:v>
                </c:pt>
                <c:pt idx="3">
                  <c:v>OTROS (Rentas Cedidas)</c:v>
                </c:pt>
                <c:pt idx="4">
                  <c:v>NACION</c:v>
                </c:pt>
                <c:pt idx="5">
                  <c:v>RECURSOS CREDITO</c:v>
                </c:pt>
                <c:pt idx="6">
                  <c:v>OTROS  - FOMETOL</c:v>
                </c:pt>
                <c:pt idx="7">
                  <c:v>SISTEMA GENERAL DE REGALIAS  - SGR</c:v>
                </c:pt>
              </c:strCache>
            </c:strRef>
          </c:cat>
          <c:val>
            <c:numRef>
              <c:f>'INV. POR FUENTES'!$B$21:$B$28</c:f>
            </c:numRef>
          </c:val>
          <c:extLst>
            <c:ext xmlns:c16="http://schemas.microsoft.com/office/drawing/2014/chart" uri="{C3380CC4-5D6E-409C-BE32-E72D297353CC}">
              <c16:uniqueId val="{00000000-BEA9-3747-B189-F953194C955E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2-BEA9-3747-B189-F953194C955E}"/>
              </c:ext>
            </c:extLst>
          </c:dPt>
          <c:dPt>
            <c:idx val="1"/>
            <c:bubble3D val="0"/>
            <c:spPr>
              <a:solidFill>
                <a:schemeClr val="accent4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4-BEA9-3747-B189-F953194C955E}"/>
              </c:ext>
            </c:extLst>
          </c:dPt>
          <c:dPt>
            <c:idx val="2"/>
            <c:bubble3D val="0"/>
            <c:explosion val="1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6-BEA9-3747-B189-F953194C955E}"/>
              </c:ext>
            </c:extLst>
          </c:dPt>
          <c:dPt>
            <c:idx val="3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8-BEA9-3747-B189-F953194C955E}"/>
              </c:ext>
            </c:extLst>
          </c:dPt>
          <c:dPt>
            <c:idx val="4"/>
            <c:bubble3D val="0"/>
            <c:spPr>
              <a:solidFill>
                <a:schemeClr val="accent6">
                  <a:lumMod val="20000"/>
                  <a:lumOff val="8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A-BEA9-3747-B189-F953194C955E}"/>
              </c:ext>
            </c:extLst>
          </c:dPt>
          <c:dPt>
            <c:idx val="5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C-BEA9-3747-B189-F953194C955E}"/>
              </c:ext>
            </c:extLst>
          </c:dPt>
          <c:dPt>
            <c:idx val="6"/>
            <c:bubble3D val="0"/>
            <c:spPr>
              <a:solidFill>
                <a:schemeClr val="accent5">
                  <a:lumMod val="5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E-BEA9-3747-B189-F953194C955E}"/>
              </c:ext>
            </c:extLst>
          </c:dPt>
          <c:dPt>
            <c:idx val="7"/>
            <c:bubble3D val="0"/>
            <c:spPr>
              <a:solidFill>
                <a:schemeClr val="accent2">
                  <a:lumMod val="75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0-BEA9-3747-B189-F953194C955E}"/>
              </c:ext>
            </c:extLst>
          </c:dPt>
          <c:dPt>
            <c:idx val="8"/>
            <c:bubble3D val="0"/>
            <c:spPr>
              <a:solidFill>
                <a:schemeClr val="accent2">
                  <a:lumMod val="75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2-BEA9-3747-B189-F953194C955E}"/>
              </c:ext>
            </c:extLst>
          </c:dPt>
          <c:dLbls>
            <c:dLbl>
              <c:idx val="0"/>
              <c:layout>
                <c:manualLayout>
                  <c:x val="0.10138051058539131"/>
                  <c:y val="2.2710503296405116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separator>,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EA9-3747-B189-F953194C955E}"/>
                </c:ext>
              </c:extLst>
            </c:dLbl>
            <c:dLbl>
              <c:idx val="1"/>
              <c:layout>
                <c:manualLayout>
                  <c:x val="8.6381062507685694E-2"/>
                  <c:y val="7.5307880924575063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separator>,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EA9-3747-B189-F953194C955E}"/>
                </c:ext>
              </c:extLst>
            </c:dLbl>
            <c:dLbl>
              <c:idx val="2"/>
              <c:layout>
                <c:manualLayout>
                  <c:x val="0.21029988952743484"/>
                  <c:y val="-1.2285490617923903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separator>,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EA9-3747-B189-F953194C955E}"/>
                </c:ext>
              </c:extLst>
            </c:dLbl>
            <c:dLbl>
              <c:idx val="3"/>
              <c:layout>
                <c:manualLayout>
                  <c:x val="-1.8017084795528837E-3"/>
                  <c:y val="6.9393191081217442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800" b="1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separator>, </c:separator>
              <c:extLst>
                <c:ext xmlns:c15="http://schemas.microsoft.com/office/drawing/2012/chart" uri="{CE6537A1-D6FC-4f65-9D91-7224C49458BB}">
                  <c15:layout>
                    <c:manualLayout>
                      <c:w val="0.18526867161932487"/>
                      <c:h val="0.2497632987412934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8-BEA9-3747-B189-F953194C955E}"/>
                </c:ext>
              </c:extLst>
            </c:dLbl>
            <c:dLbl>
              <c:idx val="4"/>
              <c:layout>
                <c:manualLayout>
                  <c:x val="-5.4312730343233834E-2"/>
                  <c:y val="3.1731380513171731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800" b="1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separator>, </c:separator>
              <c:extLst>
                <c:ext xmlns:c15="http://schemas.microsoft.com/office/drawing/2012/chart" uri="{CE6537A1-D6FC-4f65-9D91-7224C49458BB}">
                  <c15:layout>
                    <c:manualLayout>
                      <c:w val="0.12962168841903401"/>
                      <c:h val="0.103784584079310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A-BEA9-3747-B189-F953194C955E}"/>
                </c:ext>
              </c:extLst>
            </c:dLbl>
            <c:dLbl>
              <c:idx val="5"/>
              <c:layout>
                <c:manualLayout>
                  <c:x val="-6.1409127473156251E-2"/>
                  <c:y val="-3.4438068188826056E-3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separator>,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BEA9-3747-B189-F953194C955E}"/>
                </c:ext>
              </c:extLst>
            </c:dLbl>
            <c:dLbl>
              <c:idx val="6"/>
              <c:layout>
                <c:manualLayout>
                  <c:x val="-4.3297643197403549E-2"/>
                  <c:y val="-3.6534340485600975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separator>,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BEA9-3747-B189-F953194C955E}"/>
                </c:ext>
              </c:extLst>
            </c:dLbl>
            <c:dLbl>
              <c:idx val="7"/>
              <c:layout>
                <c:manualLayout>
                  <c:x val="-8.4379667660965912E-2"/>
                  <c:y val="-5.3275256175454221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separator>,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BEA9-3747-B189-F953194C955E}"/>
                </c:ext>
              </c:extLst>
            </c:dLbl>
            <c:dLbl>
              <c:idx val="8"/>
              <c:layout>
                <c:manualLayout>
                  <c:x val="-6.5313640701258294E-2"/>
                  <c:y val="-2.8139690180740133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separator>,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BEA9-3747-B189-F953194C955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eparator>, </c:separator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'INV. POR FUENTES'!$A$21:$A$28</c:f>
              <c:strCache>
                <c:ptCount val="8"/>
                <c:pt idx="0">
                  <c:v>INGRESOS CORRIENTES DE LIBE DESTINACION -  ICLD</c:v>
                </c:pt>
                <c:pt idx="1">
                  <c:v>INGRESOS CORRIENTES DE DESTINACION ESPECIFICA - ICDE</c:v>
                </c:pt>
                <c:pt idx="2">
                  <c:v>SISTEMA GENERAL DE PARTICIPACIONES -  SGP </c:v>
                </c:pt>
                <c:pt idx="3">
                  <c:v>OTROS (Rentas Cedidas)</c:v>
                </c:pt>
                <c:pt idx="4">
                  <c:v>NACION</c:v>
                </c:pt>
                <c:pt idx="5">
                  <c:v>RECURSOS CREDITO</c:v>
                </c:pt>
                <c:pt idx="6">
                  <c:v>OTROS  - FOMETOL</c:v>
                </c:pt>
                <c:pt idx="7">
                  <c:v>SISTEMA GENERAL DE REGALIAS  - SGR</c:v>
                </c:pt>
              </c:strCache>
            </c:strRef>
          </c:cat>
          <c:val>
            <c:numRef>
              <c:f>'INV. POR FUENTES'!$C$21:$C$28</c:f>
              <c:numCache>
                <c:formatCode>#,##0.0</c:formatCode>
                <c:ptCount val="8"/>
                <c:pt idx="0">
                  <c:v>286401.05839199998</c:v>
                </c:pt>
                <c:pt idx="1">
                  <c:v>193957.32086800001</c:v>
                </c:pt>
                <c:pt idx="2">
                  <c:v>1985955.3425495001</c:v>
                </c:pt>
                <c:pt idx="3">
                  <c:v>121884.082230856</c:v>
                </c:pt>
                <c:pt idx="4">
                  <c:v>60000</c:v>
                </c:pt>
                <c:pt idx="5">
                  <c:v>150000</c:v>
                </c:pt>
                <c:pt idx="6">
                  <c:v>18738.510999999999</c:v>
                </c:pt>
                <c:pt idx="7">
                  <c:v>363137.59960799996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BEA9-3747-B189-F953194C955E}"/>
            </c:ext>
          </c:extLst>
        </c:ser>
        <c:ser>
          <c:idx val="2"/>
          <c:order val="2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1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1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5-BEA9-3747-B189-F953194C955E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2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2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7-BEA9-3747-B189-F953194C955E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3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3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9-BEA9-3747-B189-F953194C955E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4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4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B-BEA9-3747-B189-F953194C955E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5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5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D-BEA9-3747-B189-F953194C955E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6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6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F-BEA9-3747-B189-F953194C955E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1">
                      <a:lumMod val="60000"/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1">
                      <a:lumMod val="60000"/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21-BEA9-3747-B189-F953194C955E}"/>
              </c:ext>
            </c:extLst>
          </c:dPt>
          <c:dPt>
            <c:idx val="7"/>
            <c:bubble3D val="0"/>
            <c:spPr>
              <a:gradFill rotWithShape="1">
                <a:gsLst>
                  <a:gs pos="0">
                    <a:schemeClr val="accent2">
                      <a:lumMod val="60000"/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2">
                      <a:lumMod val="60000"/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2">
                      <a:lumMod val="60000"/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23-BEA9-3747-B189-F953194C955E}"/>
              </c:ext>
            </c:extLst>
          </c:dPt>
          <c:dPt>
            <c:idx val="8"/>
            <c:bubble3D val="0"/>
            <c:spPr>
              <a:gradFill rotWithShape="1">
                <a:gsLst>
                  <a:gs pos="0">
                    <a:schemeClr val="accent3">
                      <a:lumMod val="60000"/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3">
                      <a:lumMod val="60000"/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3">
                      <a:lumMod val="60000"/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25-BEA9-3747-B189-F953194C955E}"/>
              </c:ext>
            </c:extLst>
          </c:dPt>
          <c:cat>
            <c:strRef>
              <c:f>'INV. POR FUENTES'!$A$21:$A$28</c:f>
              <c:strCache>
                <c:ptCount val="8"/>
                <c:pt idx="0">
                  <c:v>INGRESOS CORRIENTES DE LIBE DESTINACION -  ICLD</c:v>
                </c:pt>
                <c:pt idx="1">
                  <c:v>INGRESOS CORRIENTES DE DESTINACION ESPECIFICA - ICDE</c:v>
                </c:pt>
                <c:pt idx="2">
                  <c:v>SISTEMA GENERAL DE PARTICIPACIONES -  SGP </c:v>
                </c:pt>
                <c:pt idx="3">
                  <c:v>OTROS (Rentas Cedidas)</c:v>
                </c:pt>
                <c:pt idx="4">
                  <c:v>NACION</c:v>
                </c:pt>
                <c:pt idx="5">
                  <c:v>RECURSOS CREDITO</c:v>
                </c:pt>
                <c:pt idx="6">
                  <c:v>OTROS  - FOMETOL</c:v>
                </c:pt>
                <c:pt idx="7">
                  <c:v>SISTEMA GENERAL DE REGALIAS  - SGR</c:v>
                </c:pt>
              </c:strCache>
            </c:strRef>
          </c:cat>
          <c:val>
            <c:numRef>
              <c:f>'INV. POR FUENTES'!$D$21:$D$28</c:f>
              <c:numCache>
                <c:formatCode>0.0%</c:formatCode>
                <c:ptCount val="8"/>
                <c:pt idx="0">
                  <c:v>9.0061120281583404E-2</c:v>
                </c:pt>
                <c:pt idx="1">
                  <c:v>6.099144809128166E-2</c:v>
                </c:pt>
                <c:pt idx="2">
                  <c:v>0.6244997718134645</c:v>
                </c:pt>
                <c:pt idx="3">
                  <c:v>3.8327413606797846E-2</c:v>
                </c:pt>
                <c:pt idx="4">
                  <c:v>1.8867487253518684E-2</c:v>
                </c:pt>
                <c:pt idx="5">
                  <c:v>4.7168718133796708E-2</c:v>
                </c:pt>
                <c:pt idx="6">
                  <c:v>5.8924734983343309E-3</c:v>
                </c:pt>
                <c:pt idx="7">
                  <c:v>0.11419156732122276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6-BEA9-3747-B189-F953194C95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s-ES_tradnl" sz="1000" b="0">
                <a:solidFill>
                  <a:schemeClr val="tx1"/>
                </a:solidFill>
              </a:rPr>
              <a:t>Gráfico 2</a:t>
            </a:r>
          </a:p>
          <a:p>
            <a:pPr>
              <a:defRPr>
                <a:solidFill>
                  <a:schemeClr val="tx1"/>
                </a:solidFill>
              </a:defRPr>
            </a:pPr>
            <a:r>
              <a:rPr lang="es-ES_tradnl" sz="1000" b="0">
                <a:solidFill>
                  <a:schemeClr val="tx1"/>
                </a:solidFill>
              </a:rPr>
              <a:t>Tolima. Distribución de la inversión por políticas</a:t>
            </a:r>
          </a:p>
          <a:p>
            <a:pPr>
              <a:defRPr>
                <a:solidFill>
                  <a:schemeClr val="tx1"/>
                </a:solidFill>
              </a:defRPr>
            </a:pPr>
            <a:r>
              <a:rPr lang="es-ES_tradnl" sz="1000" b="0">
                <a:solidFill>
                  <a:schemeClr val="tx1"/>
                </a:solidFill>
              </a:rPr>
              <a:t>2020 - 2023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8.5780521013323272E-2"/>
          <c:y val="0.19763140326320683"/>
          <c:w val="0.87990727058134743"/>
          <c:h val="0.7655781848922294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6">
                  <a:lumMod val="7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2-BB8E-2847-B784-F42D0AD27F27}"/>
              </c:ext>
            </c:extLst>
          </c:dPt>
          <c:dPt>
            <c:idx val="1"/>
            <c:bubble3D val="0"/>
            <c:spPr>
              <a:solidFill>
                <a:schemeClr val="accent2">
                  <a:lumMod val="7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BB8E-2847-B784-F42D0AD27F27}"/>
              </c:ext>
            </c:extLst>
          </c:dPt>
          <c:dPt>
            <c:idx val="2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BB8E-2847-B784-F42D0AD27F27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4-BB8E-2847-B784-F42D0AD27F27}"/>
              </c:ext>
            </c:extLst>
          </c:dPt>
          <c:dLbls>
            <c:dLbl>
              <c:idx val="0"/>
              <c:layout>
                <c:manualLayout>
                  <c:x val="4.9720821553146041E-2"/>
                  <c:y val="-1.4184191710438127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tx1"/>
                      </a:solidFill>
                      <a:latin typeface="Calibri" panose="020F0502020204030204" pitchFamily="34" charset="0"/>
                      <a:ea typeface="+mn-ea"/>
                      <a:cs typeface="Calibri" panose="020F0502020204030204" pitchFamily="34" charset="0"/>
                    </a:defRPr>
                  </a:pPr>
                  <a:endParaRPr lang="es-CO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0587325043197585"/>
                      <c:h val="0.14967008454947547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2-BB8E-2847-B784-F42D0AD27F27}"/>
                </c:ext>
              </c:extLst>
            </c:dLbl>
            <c:dLbl>
              <c:idx val="1"/>
              <c:layout>
                <c:manualLayout>
                  <c:x val="-0.15846193210264745"/>
                  <c:y val="0.2622734295311683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tx1"/>
                      </a:solidFill>
                      <a:latin typeface="Calibri" panose="020F0502020204030204" pitchFamily="34" charset="0"/>
                      <a:ea typeface="+mn-ea"/>
                      <a:cs typeface="Calibri" panose="020F0502020204030204" pitchFamily="34" charset="0"/>
                    </a:defRPr>
                  </a:pPr>
                  <a:endParaRPr lang="es-CO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7813182993626711"/>
                      <c:h val="0.1855240131834503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BB8E-2847-B784-F42D0AD27F27}"/>
                </c:ext>
              </c:extLst>
            </c:dLbl>
            <c:dLbl>
              <c:idx val="2"/>
              <c:layout>
                <c:manualLayout>
                  <c:x val="-0.22609259730314146"/>
                  <c:y val="0.14100998502838286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B8E-2847-B784-F42D0AD27F27}"/>
                </c:ext>
              </c:extLst>
            </c:dLbl>
            <c:dLbl>
              <c:idx val="3"/>
              <c:layout>
                <c:manualLayout>
                  <c:x val="-0.24199279362571027"/>
                  <c:y val="1.6666293583272863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B8E-2847-B784-F42D0AD27F2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Calibri" panose="020F0502020204030204" pitchFamily="34" charset="0"/>
                    <a:ea typeface="+mn-ea"/>
                    <a:cs typeface="Calibri" panose="020F0502020204030204" pitchFamily="34" charset="0"/>
                  </a:defRPr>
                </a:pPr>
                <a:endParaRPr lang="es-CO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'INV. POR POLITICAS'!$A$31:$A$34</c:f>
              <c:strCache>
                <c:ptCount val="4"/>
                <c:pt idx="0">
                  <c:v>Tolima, tierra de inclusión y bienestar</c:v>
                </c:pt>
                <c:pt idx="1">
                  <c:v>Tolima, tierra de oportunidades</c:v>
                </c:pt>
                <c:pt idx="2">
                  <c:v>Tolima, gobierno de paz, unidad y reconciliación</c:v>
                </c:pt>
                <c:pt idx="3">
                  <c:v>Tolima, territorio de conciencia ambiental</c:v>
                </c:pt>
              </c:strCache>
            </c:strRef>
          </c:cat>
          <c:val>
            <c:numRef>
              <c:f>'INV. POR POLITICAS'!$B$31:$B$34</c:f>
              <c:numCache>
                <c:formatCode>_-"$"* #,##0_-;\-"$"* #,##0_-;_-"$"* "-"_-;_-@_-</c:formatCode>
                <c:ptCount val="4"/>
                <c:pt idx="0">
                  <c:v>2386489.2922568563</c:v>
                </c:pt>
                <c:pt idx="1">
                  <c:v>320305.02517400001</c:v>
                </c:pt>
                <c:pt idx="2">
                  <c:v>51010.974876</c:v>
                </c:pt>
                <c:pt idx="3">
                  <c:v>59131.022733499995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8E-2847-B784-F42D0AD27F27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BE1D-894D-A409-64F7046D671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BE1D-894D-A409-64F7046D671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D-BE1D-894D-A409-64F7046D6713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F-BE1D-894D-A409-64F7046D6713}"/>
              </c:ext>
            </c:extLst>
          </c:dPt>
          <c:cat>
            <c:strRef>
              <c:f>'INV. POR POLITICAS'!$A$31:$A$34</c:f>
              <c:strCache>
                <c:ptCount val="4"/>
                <c:pt idx="0">
                  <c:v>Tolima, tierra de inclusión y bienestar</c:v>
                </c:pt>
                <c:pt idx="1">
                  <c:v>Tolima, tierra de oportunidades</c:v>
                </c:pt>
                <c:pt idx="2">
                  <c:v>Tolima, gobierno de paz, unidad y reconciliación</c:v>
                </c:pt>
                <c:pt idx="3">
                  <c:v>Tolima, territorio de conciencia ambiental</c:v>
                </c:pt>
              </c:strCache>
            </c:strRef>
          </c:cat>
          <c:val>
            <c:numRef>
              <c:f>'INV. POR POLITICAS'!$C$31:$C$34</c:f>
              <c:numCache>
                <c:formatCode>0.0%</c:formatCode>
                <c:ptCount val="4"/>
                <c:pt idx="0">
                  <c:v>0.84719320046916524</c:v>
                </c:pt>
                <c:pt idx="1">
                  <c:v>0.11370687489944592</c:v>
                </c:pt>
                <c:pt idx="2">
                  <c:v>1.810867168123011E-2</c:v>
                </c:pt>
                <c:pt idx="3">
                  <c:v>2.0991252950158676E-2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B8E-2847-B784-F42D0AD27F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5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/>
    <cs:fillRef idx="2">
      <cs:styleClr val="auto"/>
    </cs:fillRef>
    <cs:effectRef idx="1"/>
    <cs:fontRef idx="minor">
      <a:schemeClr val="dk1"/>
    </cs:fontRef>
    <cs:spPr/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65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/>
    <cs:fillRef idx="2">
      <cs:styleClr val="auto"/>
    </cs:fillRef>
    <cs:effectRef idx="1"/>
    <cs:fontRef idx="minor">
      <a:schemeClr val="dk1"/>
    </cs:fontRef>
    <cs:spPr/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12700</xdr:rowOff>
    </xdr:from>
    <xdr:to>
      <xdr:col>0</xdr:col>
      <xdr:colOff>1384300</xdr:colOff>
      <xdr:row>2</xdr:row>
      <xdr:rowOff>0</xdr:rowOff>
    </xdr:to>
    <xdr:pic>
      <xdr:nvPicPr>
        <xdr:cNvPr id="13" name="Imagen 12">
          <a:extLst>
            <a:ext uri="{FF2B5EF4-FFF2-40B4-BE49-F238E27FC236}">
              <a16:creationId xmlns:a16="http://schemas.microsoft.com/office/drawing/2014/main" id="{0CCFC3DB-CFCD-E04C-97D5-ABC118BF02F9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0687" t="20659" r="59340" b="57526"/>
        <a:stretch>
          <a:fillRect/>
        </a:stretch>
      </xdr:blipFill>
      <xdr:spPr bwMode="auto">
        <a:xfrm>
          <a:off x="0" y="12700"/>
          <a:ext cx="1384300" cy="1498600"/>
        </a:xfrm>
        <a:prstGeom prst="rect">
          <a:avLst/>
        </a:prstGeom>
        <a:solidFill>
          <a:schemeClr val="bg1"/>
        </a:solidFill>
        <a:ln>
          <a:noFill/>
        </a:ln>
      </xdr:spPr>
    </xdr:pic>
    <xdr:clientData/>
  </xdr:twoCellAnchor>
  <xdr:twoCellAnchor editAs="oneCell">
    <xdr:from>
      <xdr:col>31</xdr:col>
      <xdr:colOff>1079500</xdr:colOff>
      <xdr:row>0</xdr:row>
      <xdr:rowOff>266700</xdr:rowOff>
    </xdr:from>
    <xdr:to>
      <xdr:col>32</xdr:col>
      <xdr:colOff>907143</xdr:colOff>
      <xdr:row>1</xdr:row>
      <xdr:rowOff>317500</xdr:rowOff>
    </xdr:to>
    <xdr:pic>
      <xdr:nvPicPr>
        <xdr:cNvPr id="14" name="Imagen 13">
          <a:extLst>
            <a:ext uri="{FF2B5EF4-FFF2-40B4-BE49-F238E27FC236}">
              <a16:creationId xmlns:a16="http://schemas.microsoft.com/office/drawing/2014/main" id="{A3D142E8-2518-B14D-B4F2-598E6707BA07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624500" y="266700"/>
          <a:ext cx="1397000" cy="12192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10079</xdr:colOff>
      <xdr:row>19</xdr:row>
      <xdr:rowOff>40317</xdr:rowOff>
    </xdr:from>
    <xdr:to>
      <xdr:col>18</xdr:col>
      <xdr:colOff>30238</xdr:colOff>
      <xdr:row>37</xdr:row>
      <xdr:rowOff>60476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E1A7DCA5-CB5E-3E40-9E2F-F44414D256B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10079</xdr:colOff>
      <xdr:row>19</xdr:row>
      <xdr:rowOff>78417</xdr:rowOff>
    </xdr:from>
    <xdr:to>
      <xdr:col>18</xdr:col>
      <xdr:colOff>30238</xdr:colOff>
      <xdr:row>37</xdr:row>
      <xdr:rowOff>98576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686F3E93-07BF-7C4B-9561-515A45DEAD8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812342</xdr:colOff>
      <xdr:row>26</xdr:row>
      <xdr:rowOff>24254</xdr:rowOff>
    </xdr:from>
    <xdr:to>
      <xdr:col>12</xdr:col>
      <xdr:colOff>800901</xdr:colOff>
      <xdr:row>43</xdr:row>
      <xdr:rowOff>11439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DF761E6B-129D-E046-A6F1-36F47AF9790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V204"/>
  <sheetViews>
    <sheetView tabSelected="1" topLeftCell="A31" zoomScale="30" zoomScaleNormal="30" workbookViewId="0">
      <selection activeCell="L41" sqref="L41:R41"/>
    </sheetView>
  </sheetViews>
  <sheetFormatPr baseColWidth="10" defaultColWidth="11.42578125" defaultRowHeight="15" x14ac:dyDescent="0.25"/>
  <cols>
    <col min="1" max="1" width="26.140625" style="2" customWidth="1"/>
    <col min="2" max="2" width="21.28515625" style="2" customWidth="1"/>
    <col min="3" max="3" width="17.85546875" style="2" customWidth="1"/>
    <col min="4" max="4" width="19.28515625" style="2" customWidth="1"/>
    <col min="5" max="5" width="18" style="3" customWidth="1"/>
    <col min="6" max="6" width="20.42578125" style="3" customWidth="1"/>
    <col min="7" max="7" width="17.28515625" style="3" customWidth="1"/>
    <col min="8" max="8" width="16" style="3" customWidth="1"/>
    <col min="9" max="9" width="14.85546875" style="3" customWidth="1"/>
    <col min="10" max="11" width="13.85546875" style="3" customWidth="1"/>
    <col min="12" max="12" width="18.28515625" style="3" customWidth="1"/>
    <col min="13" max="13" width="18.140625" style="3" customWidth="1"/>
    <col min="14" max="14" width="17.85546875" style="3" customWidth="1"/>
    <col min="15" max="15" width="16.7109375" style="3" customWidth="1"/>
    <col min="16" max="17" width="14.7109375" style="3" customWidth="1"/>
    <col min="18" max="18" width="15.42578125" style="3" customWidth="1"/>
    <col min="19" max="19" width="19" style="3" customWidth="1"/>
    <col min="20" max="20" width="17" style="3" customWidth="1"/>
    <col min="21" max="21" width="16.140625" style="3" customWidth="1"/>
    <col min="22" max="22" width="21" style="3" bestFit="1" customWidth="1"/>
    <col min="23" max="23" width="24.42578125" style="3" bestFit="1" customWidth="1"/>
    <col min="24" max="25" width="14" style="3" customWidth="1"/>
    <col min="26" max="26" width="18.85546875" style="3" customWidth="1"/>
    <col min="27" max="27" width="17" style="3" customWidth="1"/>
    <col min="28" max="28" width="33" style="3" bestFit="1" customWidth="1"/>
    <col min="29" max="29" width="21" style="3" bestFit="1" customWidth="1"/>
    <col min="30" max="31" width="17.85546875" style="3" bestFit="1" customWidth="1"/>
    <col min="32" max="32" width="20.7109375" style="3" bestFit="1" customWidth="1"/>
    <col min="33" max="33" width="17" style="2" customWidth="1"/>
    <col min="34" max="34" width="27.140625" style="11" customWidth="1"/>
    <col min="35" max="35" width="31.28515625" style="11" customWidth="1"/>
    <col min="36" max="36" width="26" style="11" customWidth="1"/>
    <col min="37" max="37" width="23.140625" style="11" customWidth="1"/>
    <col min="38" max="100" width="11.42578125" style="11"/>
    <col min="101" max="16384" width="11.42578125" style="2"/>
  </cols>
  <sheetData>
    <row r="1" spans="1:100" s="4" customFormat="1" ht="92.25" customHeight="1" x14ac:dyDescent="0.55000000000000004">
      <c r="E1" s="16"/>
      <c r="F1" s="217" t="s">
        <v>0</v>
      </c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</row>
    <row r="2" spans="1:100" s="4" customFormat="1" ht="27.75" customHeight="1" x14ac:dyDescent="0.25">
      <c r="A2" s="6"/>
      <c r="B2" s="7"/>
      <c r="C2" s="7"/>
      <c r="D2" s="7"/>
      <c r="E2" s="218" t="s">
        <v>1</v>
      </c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8"/>
      <c r="S2" s="8"/>
      <c r="T2" s="8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</row>
    <row r="3" spans="1:100" s="4" customFormat="1" ht="15" customHeight="1" x14ac:dyDescent="0.25">
      <c r="A3" s="15" t="s">
        <v>2</v>
      </c>
      <c r="B3" s="15" t="s">
        <v>3</v>
      </c>
      <c r="C3" s="9"/>
      <c r="D3" s="9"/>
      <c r="E3" s="10"/>
      <c r="F3" s="5"/>
      <c r="G3" s="5"/>
      <c r="H3" s="230"/>
      <c r="I3" s="230"/>
      <c r="J3" s="230"/>
      <c r="K3" s="230"/>
      <c r="L3" s="230"/>
      <c r="M3" s="230"/>
      <c r="N3" s="230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</row>
    <row r="4" spans="1:100" s="4" customFormat="1" ht="32.1" customHeight="1" x14ac:dyDescent="0.25">
      <c r="A4" s="219" t="s">
        <v>4</v>
      </c>
      <c r="B4" s="219"/>
      <c r="C4" s="219"/>
      <c r="D4" s="219"/>
      <c r="E4" s="10"/>
      <c r="F4" s="5"/>
      <c r="G4" s="5"/>
      <c r="H4" s="230"/>
      <c r="I4" s="230"/>
      <c r="J4" s="230"/>
      <c r="K4" s="230"/>
      <c r="L4" s="230"/>
      <c r="M4" s="230"/>
      <c r="N4" s="230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</row>
    <row r="5" spans="1:100" s="4" customFormat="1" x14ac:dyDescent="0.25">
      <c r="A5" s="195" t="s">
        <v>5</v>
      </c>
      <c r="B5" s="196" t="s">
        <v>6</v>
      </c>
      <c r="C5" s="196"/>
      <c r="D5" s="196"/>
      <c r="E5" s="10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</row>
    <row r="6" spans="1:100" s="4" customFormat="1" ht="8.1" customHeight="1" x14ac:dyDescent="0.25">
      <c r="A6" s="195"/>
      <c r="B6" s="196"/>
      <c r="C6" s="196"/>
      <c r="D6" s="196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</row>
    <row r="7" spans="1:100" s="4" customFormat="1" ht="20.100000000000001" customHeight="1" x14ac:dyDescent="0.25">
      <c r="A7" s="170" t="s">
        <v>7</v>
      </c>
      <c r="B7" s="188" t="s">
        <v>8</v>
      </c>
      <c r="C7" s="189"/>
      <c r="D7" s="190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</row>
    <row r="8" spans="1:100" s="1" customFormat="1" ht="18.95" customHeight="1" x14ac:dyDescent="0.25">
      <c r="E8" s="197" t="s">
        <v>9</v>
      </c>
      <c r="F8" s="197"/>
      <c r="G8" s="197"/>
      <c r="H8" s="197"/>
      <c r="I8" s="197"/>
      <c r="J8" s="197"/>
      <c r="K8" s="197"/>
      <c r="L8" s="229" t="s">
        <v>9</v>
      </c>
      <c r="M8" s="229"/>
      <c r="N8" s="229"/>
      <c r="O8" s="229"/>
      <c r="P8" s="229"/>
      <c r="Q8" s="229"/>
      <c r="R8" s="229"/>
      <c r="S8" s="197" t="s">
        <v>9</v>
      </c>
      <c r="T8" s="197"/>
      <c r="U8" s="197"/>
      <c r="V8" s="197"/>
      <c r="W8" s="197"/>
      <c r="X8" s="197"/>
      <c r="Y8" s="197"/>
      <c r="Z8" s="197" t="s">
        <v>9</v>
      </c>
      <c r="AA8" s="197"/>
      <c r="AB8" s="197"/>
      <c r="AC8" s="197"/>
      <c r="AD8" s="197"/>
      <c r="AE8" s="197"/>
      <c r="AF8" s="197"/>
      <c r="AG8" s="220" t="s">
        <v>10</v>
      </c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</row>
    <row r="9" spans="1:100" s="1" customFormat="1" ht="20.100000000000001" customHeight="1" x14ac:dyDescent="0.25">
      <c r="A9" s="193" t="s">
        <v>11</v>
      </c>
      <c r="B9" s="193" t="s">
        <v>12</v>
      </c>
      <c r="C9" s="193" t="s">
        <v>13</v>
      </c>
      <c r="D9" s="193" t="s">
        <v>14</v>
      </c>
      <c r="E9" s="194">
        <v>2020</v>
      </c>
      <c r="F9" s="194"/>
      <c r="G9" s="194"/>
      <c r="H9" s="194"/>
      <c r="I9" s="194"/>
      <c r="J9" s="194"/>
      <c r="K9" s="194"/>
      <c r="L9" s="194">
        <v>2021</v>
      </c>
      <c r="M9" s="194"/>
      <c r="N9" s="194"/>
      <c r="O9" s="194"/>
      <c r="P9" s="194"/>
      <c r="Q9" s="194"/>
      <c r="R9" s="194"/>
      <c r="S9" s="194">
        <v>2022</v>
      </c>
      <c r="T9" s="194"/>
      <c r="U9" s="194"/>
      <c r="V9" s="194"/>
      <c r="W9" s="194"/>
      <c r="X9" s="194"/>
      <c r="Y9" s="194"/>
      <c r="Z9" s="194">
        <v>2023</v>
      </c>
      <c r="AA9" s="194"/>
      <c r="AB9" s="194"/>
      <c r="AC9" s="194"/>
      <c r="AD9" s="194"/>
      <c r="AE9" s="194"/>
      <c r="AF9" s="194"/>
      <c r="AG9" s="221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</row>
    <row r="10" spans="1:100" s="1" customFormat="1" ht="57.95" customHeight="1" x14ac:dyDescent="0.25">
      <c r="A10" s="223"/>
      <c r="B10" s="223"/>
      <c r="C10" s="223"/>
      <c r="D10" s="223"/>
      <c r="E10" s="171" t="s">
        <v>15</v>
      </c>
      <c r="F10" s="171" t="s">
        <v>16</v>
      </c>
      <c r="G10" s="171" t="s">
        <v>17</v>
      </c>
      <c r="H10" s="171" t="s">
        <v>18</v>
      </c>
      <c r="I10" s="171" t="s">
        <v>19</v>
      </c>
      <c r="J10" s="171" t="s">
        <v>20</v>
      </c>
      <c r="K10" s="171" t="s">
        <v>21</v>
      </c>
      <c r="L10" s="171" t="s">
        <v>15</v>
      </c>
      <c r="M10" s="171" t="s">
        <v>16</v>
      </c>
      <c r="N10" s="171" t="s">
        <v>17</v>
      </c>
      <c r="O10" s="171" t="s">
        <v>18</v>
      </c>
      <c r="P10" s="171" t="s">
        <v>19</v>
      </c>
      <c r="Q10" s="171" t="s">
        <v>20</v>
      </c>
      <c r="R10" s="171" t="s">
        <v>22</v>
      </c>
      <c r="S10" s="171" t="s">
        <v>15</v>
      </c>
      <c r="T10" s="171" t="s">
        <v>16</v>
      </c>
      <c r="U10" s="171" t="s">
        <v>17</v>
      </c>
      <c r="V10" s="171" t="s">
        <v>18</v>
      </c>
      <c r="W10" s="171" t="s">
        <v>19</v>
      </c>
      <c r="X10" s="171" t="s">
        <v>20</v>
      </c>
      <c r="Y10" s="171" t="s">
        <v>23</v>
      </c>
      <c r="Z10" s="171" t="s">
        <v>15</v>
      </c>
      <c r="AA10" s="171" t="s">
        <v>16</v>
      </c>
      <c r="AB10" s="171" t="s">
        <v>17</v>
      </c>
      <c r="AC10" s="171" t="s">
        <v>18</v>
      </c>
      <c r="AD10" s="171" t="s">
        <v>19</v>
      </c>
      <c r="AE10" s="171" t="s">
        <v>20</v>
      </c>
      <c r="AF10" s="171" t="s">
        <v>22</v>
      </c>
      <c r="AG10" s="221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</row>
    <row r="11" spans="1:100" s="1" customFormat="1" ht="41.1" customHeight="1" x14ac:dyDescent="0.25">
      <c r="A11" s="112" t="s">
        <v>24</v>
      </c>
      <c r="B11" s="161">
        <v>19</v>
      </c>
      <c r="C11" s="161" t="s">
        <v>25</v>
      </c>
      <c r="D11" s="161" t="s">
        <v>26</v>
      </c>
      <c r="E11" s="121">
        <f>7000000000/1000000</f>
        <v>7000</v>
      </c>
      <c r="F11" s="118">
        <f>16493626000/1000000</f>
        <v>16493.626</v>
      </c>
      <c r="G11" s="118">
        <f>12691695000/1000000</f>
        <v>12691.695</v>
      </c>
      <c r="H11" s="119">
        <f>30621921000/1000000</f>
        <v>30621.920999999998</v>
      </c>
      <c r="I11" s="120">
        <f>60000000000/1000000</f>
        <v>60000</v>
      </c>
      <c r="J11" s="117"/>
      <c r="K11" s="119">
        <f>18738511000/1000000</f>
        <v>18738.510999999999</v>
      </c>
      <c r="L11" s="121">
        <f>7700000000/1000000</f>
        <v>7700</v>
      </c>
      <c r="M11" s="118">
        <f>16573909130/1000000</f>
        <v>16573.90913</v>
      </c>
      <c r="N11" s="118">
        <f>10885629360/1000000</f>
        <v>10885.629360000001</v>
      </c>
      <c r="O11" s="118">
        <f>30392323245/1000000</f>
        <v>30392.323245</v>
      </c>
      <c r="P11" s="117"/>
      <c r="Q11" s="117"/>
      <c r="R11" s="117"/>
      <c r="S11" s="121">
        <f>3780000000/1000000</f>
        <v>3780</v>
      </c>
      <c r="T11" s="118">
        <f>16739492221/1000000</f>
        <v>16739.492221</v>
      </c>
      <c r="U11" s="118">
        <f>10994485654/1000000</f>
        <v>10994.485654</v>
      </c>
      <c r="V11" s="118">
        <f>30355090202.4/1000000</f>
        <v>30355.090202400002</v>
      </c>
      <c r="W11" s="117"/>
      <c r="X11" s="117"/>
      <c r="Y11" s="117"/>
      <c r="Z11" s="121">
        <f>3690000000/1000000</f>
        <v>3690</v>
      </c>
      <c r="AA11" s="118">
        <f>16990449405/1000000</f>
        <v>16990.449404999999</v>
      </c>
      <c r="AB11" s="118">
        <f>11159402938/1000000</f>
        <v>11159.402937999999</v>
      </c>
      <c r="AC11" s="118">
        <f>30514747783.456/1000000</f>
        <v>30514.747783456001</v>
      </c>
      <c r="AD11" s="117"/>
      <c r="AE11" s="117"/>
      <c r="AF11" s="117"/>
      <c r="AG11" s="122">
        <f>SUM(E11:AF11)</f>
        <v>335321.28293885599</v>
      </c>
      <c r="AH11" s="167"/>
      <c r="AI11" s="167"/>
      <c r="AJ11" s="167"/>
      <c r="AK11" s="167"/>
      <c r="AL11" s="80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</row>
    <row r="12" spans="1:100" s="1" customFormat="1" ht="39.950000000000003" customHeight="1" x14ac:dyDescent="0.25">
      <c r="A12" s="113" t="s">
        <v>27</v>
      </c>
      <c r="B12" s="161" t="s">
        <v>28</v>
      </c>
      <c r="C12" s="162" t="s">
        <v>29</v>
      </c>
      <c r="D12" s="161" t="s">
        <v>26</v>
      </c>
      <c r="E12" s="119">
        <f>(789022468+13096337763+4000000000)/1000000</f>
        <v>17885.360230999999</v>
      </c>
      <c r="F12" s="119">
        <f>(2392349000+1188111900)/1000000</f>
        <v>3580.4609</v>
      </c>
      <c r="G12" s="119">
        <f>469430000000/1000000</f>
        <v>469430</v>
      </c>
      <c r="H12" s="117"/>
      <c r="I12" s="117"/>
      <c r="J12" s="117"/>
      <c r="K12" s="117"/>
      <c r="L12" s="121">
        <f>(812693142+13353471322+7700000000)/1000000</f>
        <v>21866.164464000001</v>
      </c>
      <c r="M12" s="119">
        <f>(2404310745+1375601166)/1000000</f>
        <v>3779.9119110000001</v>
      </c>
      <c r="N12" s="119">
        <f>471777150000/1000000</f>
        <v>471777.15</v>
      </c>
      <c r="O12" s="117"/>
      <c r="P12" s="117"/>
      <c r="Q12" s="117"/>
      <c r="R12" s="117"/>
      <c r="S12" s="121">
        <f>(837073936+13618318888+8400000000)/1000000</f>
        <v>22855.392823999999</v>
      </c>
      <c r="T12" s="119">
        <f>(2428353854+1205992983)/1000000</f>
        <v>3634.3468370000001</v>
      </c>
      <c r="U12" s="119">
        <f>476494921500/1000000</f>
        <v>476494.9215</v>
      </c>
      <c r="V12" s="117"/>
      <c r="W12" s="117"/>
      <c r="X12" s="117"/>
      <c r="Y12" s="117"/>
      <c r="Z12" s="121">
        <f>(862186154+9365892739+8610000000)/1000000</f>
        <v>18838.078893000002</v>
      </c>
      <c r="AA12" s="119">
        <f>(2464779160+1224311266)/1000000</f>
        <v>3689.0904260000002</v>
      </c>
      <c r="AB12" s="119">
        <f>483642345323/1000000</f>
        <v>483642.34532299999</v>
      </c>
      <c r="AC12" s="117"/>
      <c r="AD12" s="117"/>
      <c r="AE12" s="117"/>
      <c r="AF12" s="117"/>
      <c r="AG12" s="125">
        <f>SUM(E12:AF12)</f>
        <v>1997473.223309</v>
      </c>
      <c r="AH12" s="167"/>
      <c r="AI12" s="167"/>
      <c r="AJ12" s="167"/>
      <c r="AK12" s="167"/>
      <c r="AL12" s="80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</row>
    <row r="13" spans="1:100" s="1" customFormat="1" ht="39.950000000000003" customHeight="1" x14ac:dyDescent="0.25">
      <c r="A13" s="114" t="s">
        <v>30</v>
      </c>
      <c r="B13" s="161">
        <v>41</v>
      </c>
      <c r="C13" s="161" t="s">
        <v>31</v>
      </c>
      <c r="D13" s="161" t="s">
        <v>26</v>
      </c>
      <c r="E13" s="119">
        <f>(200000000+3500000000)/1000000</f>
        <v>3700</v>
      </c>
      <c r="F13" s="119">
        <f>317205600/1000000</f>
        <v>317.2056</v>
      </c>
      <c r="G13" s="117"/>
      <c r="H13" s="117"/>
      <c r="I13" s="117"/>
      <c r="J13" s="117"/>
      <c r="K13" s="117"/>
      <c r="L13" s="119">
        <f>(4950000000+200000000)/1000000</f>
        <v>5150</v>
      </c>
      <c r="M13" s="119">
        <f>318791628/1000000</f>
        <v>318.791628</v>
      </c>
      <c r="N13" s="117"/>
      <c r="O13" s="117"/>
      <c r="P13" s="117"/>
      <c r="Q13" s="117"/>
      <c r="R13" s="117"/>
      <c r="S13" s="119">
        <f>(3360000000+200000000)/1000000</f>
        <v>3560</v>
      </c>
      <c r="T13" s="119">
        <f>321979544/1000000</f>
        <v>321.97954399999998</v>
      </c>
      <c r="U13" s="117"/>
      <c r="V13" s="117"/>
      <c r="W13" s="117"/>
      <c r="X13" s="117"/>
      <c r="Y13" s="117"/>
      <c r="Z13" s="121">
        <f>(3280000000+200000000)/1000000</f>
        <v>3480</v>
      </c>
      <c r="AA13" s="121">
        <f>326809237/1000000</f>
        <v>326.809237</v>
      </c>
      <c r="AB13" s="117"/>
      <c r="AC13" s="117"/>
      <c r="AD13" s="117"/>
      <c r="AE13" s="117"/>
      <c r="AF13" s="117"/>
      <c r="AG13" s="122">
        <f>SUM(E13:AF13)</f>
        <v>17174.786009000003</v>
      </c>
      <c r="AH13" s="167"/>
      <c r="AI13" s="167"/>
      <c r="AJ13" s="167"/>
      <c r="AK13" s="167"/>
      <c r="AL13" s="80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</row>
    <row r="14" spans="1:100" s="1" customFormat="1" ht="39.950000000000003" customHeight="1" x14ac:dyDescent="0.25">
      <c r="A14" s="115" t="s">
        <v>32</v>
      </c>
      <c r="B14" s="161">
        <v>43</v>
      </c>
      <c r="C14" s="161" t="s">
        <v>33</v>
      </c>
      <c r="D14" s="161" t="s">
        <v>26</v>
      </c>
      <c r="E14" s="119">
        <f>7200000000/1000000</f>
        <v>7200</v>
      </c>
      <c r="F14" s="117"/>
      <c r="G14" s="117"/>
      <c r="H14" s="117"/>
      <c r="I14" s="117"/>
      <c r="J14" s="117"/>
      <c r="K14" s="117"/>
      <c r="L14" s="121">
        <f>7200000000/1000000</f>
        <v>7200</v>
      </c>
      <c r="M14" s="117"/>
      <c r="N14" s="117"/>
      <c r="O14" s="117"/>
      <c r="P14" s="117"/>
      <c r="Q14" s="117"/>
      <c r="R14" s="117"/>
      <c r="S14" s="121">
        <f>7200000000/1000000</f>
        <v>7200</v>
      </c>
      <c r="T14" s="117"/>
      <c r="U14" s="117"/>
      <c r="V14" s="117"/>
      <c r="W14" s="117"/>
      <c r="X14" s="117"/>
      <c r="Y14" s="117"/>
      <c r="Z14" s="121">
        <f>7200000000/1000000</f>
        <v>7200</v>
      </c>
      <c r="AA14" s="117"/>
      <c r="AB14" s="117"/>
      <c r="AC14" s="117"/>
      <c r="AD14" s="117"/>
      <c r="AE14" s="117"/>
      <c r="AF14" s="117"/>
      <c r="AG14" s="122">
        <f>SUM(E14:AF14)</f>
        <v>28800</v>
      </c>
      <c r="AH14" s="167"/>
      <c r="AI14" s="167"/>
      <c r="AJ14" s="167"/>
      <c r="AK14" s="167"/>
      <c r="AL14" s="80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</row>
    <row r="15" spans="1:100" s="1" customFormat="1" ht="51.95" customHeight="1" x14ac:dyDescent="0.25">
      <c r="A15" s="116" t="s">
        <v>34</v>
      </c>
      <c r="B15" s="160" t="s">
        <v>35</v>
      </c>
      <c r="C15" s="160" t="s">
        <v>36</v>
      </c>
      <c r="D15" s="161" t="s">
        <v>26</v>
      </c>
      <c r="E15" s="122">
        <f>2200000000/1000000</f>
        <v>2200</v>
      </c>
      <c r="F15" s="123"/>
      <c r="G15" s="123"/>
      <c r="H15" s="123"/>
      <c r="I15" s="123"/>
      <c r="J15" s="123"/>
      <c r="K15" s="123"/>
      <c r="L15" s="124">
        <f>2200000000/1000000</f>
        <v>2200</v>
      </c>
      <c r="M15" s="123"/>
      <c r="N15" s="123"/>
      <c r="O15" s="123"/>
      <c r="P15" s="123"/>
      <c r="Q15" s="123"/>
      <c r="R15" s="123"/>
      <c r="S15" s="124">
        <f>1680000000/1000000</f>
        <v>1680</v>
      </c>
      <c r="T15" s="123"/>
      <c r="U15" s="123"/>
      <c r="V15" s="123"/>
      <c r="W15" s="123"/>
      <c r="X15" s="123"/>
      <c r="Y15" s="123"/>
      <c r="Z15" s="124">
        <f>1640000000/1000000</f>
        <v>1640</v>
      </c>
      <c r="AA15" s="123"/>
      <c r="AB15" s="123"/>
      <c r="AC15" s="123"/>
      <c r="AD15" s="123"/>
      <c r="AE15" s="123"/>
      <c r="AF15" s="123"/>
      <c r="AG15" s="122">
        <f>SUM(E15:AF15)</f>
        <v>7720</v>
      </c>
      <c r="AH15" s="167"/>
      <c r="AI15" s="167"/>
      <c r="AJ15" s="167"/>
      <c r="AK15" s="167"/>
      <c r="AL15" s="80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</row>
    <row r="16" spans="1:100" s="1" customFormat="1" ht="15.95" customHeight="1" x14ac:dyDescent="0.25">
      <c r="A16" s="191"/>
      <c r="B16" s="191"/>
      <c r="C16" s="191"/>
      <c r="D16" s="191"/>
      <c r="E16" s="191"/>
      <c r="F16" s="191"/>
      <c r="G16" s="191"/>
      <c r="H16" s="191"/>
      <c r="I16" s="191"/>
      <c r="J16" s="191"/>
      <c r="K16" s="191"/>
      <c r="L16" s="191"/>
      <c r="M16" s="191"/>
      <c r="N16" s="191"/>
      <c r="O16" s="191"/>
      <c r="P16" s="191"/>
      <c r="Q16" s="191"/>
      <c r="R16" s="191"/>
      <c r="S16" s="191"/>
      <c r="T16" s="191"/>
      <c r="U16" s="191"/>
      <c r="V16" s="191"/>
      <c r="W16" s="191"/>
      <c r="X16" s="191"/>
      <c r="Y16" s="191"/>
      <c r="Z16" s="191"/>
      <c r="AA16" s="191"/>
      <c r="AB16" s="191"/>
      <c r="AC16" s="191"/>
      <c r="AD16" s="191"/>
      <c r="AE16" s="191"/>
      <c r="AF16" s="191"/>
      <c r="AG16" s="191"/>
      <c r="AH16" s="80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</row>
    <row r="17" spans="1:100" s="1" customFormat="1" ht="14.1" customHeight="1" x14ac:dyDescent="0.25">
      <c r="A17" s="195" t="s">
        <v>37</v>
      </c>
      <c r="B17" s="196" t="s">
        <v>38</v>
      </c>
      <c r="C17" s="196"/>
      <c r="D17" s="196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66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</row>
    <row r="18" spans="1:100" s="1" customFormat="1" ht="9.9499999999999993" customHeight="1" x14ac:dyDescent="0.25">
      <c r="A18" s="195"/>
      <c r="B18" s="196"/>
      <c r="C18" s="196"/>
      <c r="D18" s="196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</row>
    <row r="19" spans="1:100" s="1" customFormat="1" ht="21.95" customHeight="1" x14ac:dyDescent="0.25">
      <c r="A19" s="170" t="s">
        <v>7</v>
      </c>
      <c r="B19" s="188" t="s">
        <v>39</v>
      </c>
      <c r="C19" s="189"/>
      <c r="D19" s="190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</row>
    <row r="20" spans="1:100" s="1" customFormat="1" ht="18" customHeight="1" x14ac:dyDescent="0.25">
      <c r="E20" s="197" t="s">
        <v>9</v>
      </c>
      <c r="F20" s="197"/>
      <c r="G20" s="197"/>
      <c r="H20" s="197"/>
      <c r="I20" s="197"/>
      <c r="J20" s="197"/>
      <c r="K20" s="197"/>
      <c r="L20" s="229" t="s">
        <v>9</v>
      </c>
      <c r="M20" s="229"/>
      <c r="N20" s="229"/>
      <c r="O20" s="229"/>
      <c r="P20" s="229"/>
      <c r="Q20" s="229"/>
      <c r="R20" s="229"/>
      <c r="S20" s="197" t="s">
        <v>9</v>
      </c>
      <c r="T20" s="197"/>
      <c r="U20" s="197"/>
      <c r="V20" s="197"/>
      <c r="W20" s="197"/>
      <c r="X20" s="197"/>
      <c r="Y20" s="197"/>
      <c r="Z20" s="197" t="s">
        <v>9</v>
      </c>
      <c r="AA20" s="197"/>
      <c r="AB20" s="197"/>
      <c r="AC20" s="197"/>
      <c r="AD20" s="197"/>
      <c r="AE20" s="197"/>
      <c r="AF20" s="197"/>
      <c r="AG20" s="220" t="s">
        <v>10</v>
      </c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</row>
    <row r="21" spans="1:100" s="1" customFormat="1" ht="20.100000000000001" customHeight="1" x14ac:dyDescent="0.25">
      <c r="A21" s="193" t="s">
        <v>11</v>
      </c>
      <c r="B21" s="193" t="s">
        <v>12</v>
      </c>
      <c r="C21" s="193" t="s">
        <v>13</v>
      </c>
      <c r="D21" s="193" t="s">
        <v>14</v>
      </c>
      <c r="E21" s="194">
        <v>2020</v>
      </c>
      <c r="F21" s="194"/>
      <c r="G21" s="194"/>
      <c r="H21" s="194"/>
      <c r="I21" s="194"/>
      <c r="J21" s="194"/>
      <c r="K21" s="194"/>
      <c r="L21" s="194">
        <v>2021</v>
      </c>
      <c r="M21" s="194"/>
      <c r="N21" s="194"/>
      <c r="O21" s="194"/>
      <c r="P21" s="194"/>
      <c r="Q21" s="194"/>
      <c r="R21" s="194"/>
      <c r="S21" s="194">
        <v>2022</v>
      </c>
      <c r="T21" s="194"/>
      <c r="U21" s="194"/>
      <c r="V21" s="194"/>
      <c r="W21" s="194"/>
      <c r="X21" s="194"/>
      <c r="Y21" s="194"/>
      <c r="Z21" s="194">
        <v>2023</v>
      </c>
      <c r="AA21" s="194"/>
      <c r="AB21" s="194"/>
      <c r="AC21" s="194"/>
      <c r="AD21" s="194"/>
      <c r="AE21" s="194"/>
      <c r="AF21" s="194"/>
      <c r="AG21" s="221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</row>
    <row r="22" spans="1:100" s="1" customFormat="1" ht="53.1" customHeight="1" x14ac:dyDescent="0.25">
      <c r="A22" s="193"/>
      <c r="B22" s="193"/>
      <c r="C22" s="193"/>
      <c r="D22" s="193"/>
      <c r="E22" s="169" t="s">
        <v>15</v>
      </c>
      <c r="F22" s="169" t="s">
        <v>16</v>
      </c>
      <c r="G22" s="169" t="s">
        <v>17</v>
      </c>
      <c r="H22" s="169" t="s">
        <v>18</v>
      </c>
      <c r="I22" s="169" t="s">
        <v>19</v>
      </c>
      <c r="J22" s="169" t="s">
        <v>20</v>
      </c>
      <c r="K22" s="169" t="s">
        <v>22</v>
      </c>
      <c r="L22" s="169" t="s">
        <v>15</v>
      </c>
      <c r="M22" s="169" t="s">
        <v>16</v>
      </c>
      <c r="N22" s="169" t="s">
        <v>17</v>
      </c>
      <c r="O22" s="169" t="s">
        <v>18</v>
      </c>
      <c r="P22" s="169" t="s">
        <v>19</v>
      </c>
      <c r="Q22" s="169" t="s">
        <v>20</v>
      </c>
      <c r="R22" s="169" t="s">
        <v>22</v>
      </c>
      <c r="S22" s="169" t="s">
        <v>15</v>
      </c>
      <c r="T22" s="169" t="s">
        <v>16</v>
      </c>
      <c r="U22" s="169" t="s">
        <v>17</v>
      </c>
      <c r="V22" s="169" t="s">
        <v>18</v>
      </c>
      <c r="W22" s="169" t="s">
        <v>19</v>
      </c>
      <c r="X22" s="169" t="s">
        <v>20</v>
      </c>
      <c r="Y22" s="169" t="s">
        <v>23</v>
      </c>
      <c r="Z22" s="169" t="s">
        <v>15</v>
      </c>
      <c r="AA22" s="169" t="s">
        <v>16</v>
      </c>
      <c r="AB22" s="169" t="s">
        <v>17</v>
      </c>
      <c r="AC22" s="169" t="s">
        <v>18</v>
      </c>
      <c r="AD22" s="169" t="s">
        <v>19</v>
      </c>
      <c r="AE22" s="169" t="s">
        <v>20</v>
      </c>
      <c r="AF22" s="169" t="s">
        <v>22</v>
      </c>
      <c r="AG22" s="222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</row>
    <row r="23" spans="1:100" s="1" customFormat="1" ht="50.1" customHeight="1" x14ac:dyDescent="0.25">
      <c r="A23" s="112" t="s">
        <v>40</v>
      </c>
      <c r="B23" s="159">
        <v>17</v>
      </c>
      <c r="C23" s="160" t="s">
        <v>41</v>
      </c>
      <c r="D23" s="160" t="s">
        <v>26</v>
      </c>
      <c r="E23" s="124">
        <f>3950000000/1000000</f>
        <v>3950</v>
      </c>
      <c r="F23" s="123"/>
      <c r="G23" s="123"/>
      <c r="H23" s="123"/>
      <c r="I23" s="123"/>
      <c r="J23" s="123"/>
      <c r="K23" s="123"/>
      <c r="L23" s="124">
        <f>4650000000/1000000</f>
        <v>4650</v>
      </c>
      <c r="M23" s="123"/>
      <c r="N23" s="123"/>
      <c r="O23" s="123"/>
      <c r="P23" s="123"/>
      <c r="Q23" s="123"/>
      <c r="R23" s="123"/>
      <c r="S23" s="124">
        <f>3060000000/1000000</f>
        <v>3060</v>
      </c>
      <c r="T23" s="123"/>
      <c r="U23" s="123"/>
      <c r="V23" s="123"/>
      <c r="W23" s="123"/>
      <c r="X23" s="123"/>
      <c r="Y23" s="123"/>
      <c r="Z23" s="124">
        <f>2980000000/1000000</f>
        <v>2980</v>
      </c>
      <c r="AA23" s="123"/>
      <c r="AB23" s="123"/>
      <c r="AC23" s="123"/>
      <c r="AD23" s="123"/>
      <c r="AE23" s="123"/>
      <c r="AF23" s="123"/>
      <c r="AG23" s="126">
        <f>SUM(E23:AF23)</f>
        <v>14640</v>
      </c>
      <c r="AH23" s="79"/>
      <c r="AI23" s="79"/>
      <c r="AJ23" s="79"/>
      <c r="AK23" s="79"/>
      <c r="AL23" s="80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</row>
    <row r="24" spans="1:100" s="1" customFormat="1" ht="51.95" customHeight="1" x14ac:dyDescent="0.25">
      <c r="A24" s="116" t="s">
        <v>42</v>
      </c>
      <c r="B24" s="160" t="s">
        <v>43</v>
      </c>
      <c r="C24" s="160" t="s">
        <v>44</v>
      </c>
      <c r="D24" s="160" t="s">
        <v>26</v>
      </c>
      <c r="E24" s="124">
        <f>3000000000/1000000</f>
        <v>3000</v>
      </c>
      <c r="F24" s="123"/>
      <c r="G24" s="123"/>
      <c r="H24" s="123"/>
      <c r="I24" s="123"/>
      <c r="J24" s="123"/>
      <c r="K24" s="123"/>
      <c r="L24" s="124">
        <f>4950000000/1000000</f>
        <v>4950</v>
      </c>
      <c r="M24" s="123"/>
      <c r="N24" s="123"/>
      <c r="O24" s="123"/>
      <c r="P24" s="123"/>
      <c r="Q24" s="123"/>
      <c r="R24" s="123"/>
      <c r="S24" s="124">
        <f>3360000000/1000000</f>
        <v>3360</v>
      </c>
      <c r="T24" s="123"/>
      <c r="U24" s="123"/>
      <c r="V24" s="123"/>
      <c r="W24" s="123"/>
      <c r="X24" s="123"/>
      <c r="Y24" s="123"/>
      <c r="Z24" s="124">
        <f>3280000000/1000000</f>
        <v>3280</v>
      </c>
      <c r="AA24" s="123"/>
      <c r="AB24" s="123"/>
      <c r="AC24" s="123"/>
      <c r="AD24" s="123"/>
      <c r="AE24" s="123"/>
      <c r="AF24" s="123"/>
      <c r="AG24" s="126">
        <f>SUM(E24:AF24)</f>
        <v>14590</v>
      </c>
      <c r="AH24" s="79"/>
      <c r="AI24" s="79"/>
      <c r="AJ24" s="79"/>
      <c r="AK24" s="79"/>
      <c r="AL24" s="80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</row>
    <row r="25" spans="1:100" s="1" customFormat="1" ht="41.1" customHeight="1" x14ac:dyDescent="0.25">
      <c r="A25" s="114" t="s">
        <v>45</v>
      </c>
      <c r="B25" s="160" t="s">
        <v>46</v>
      </c>
      <c r="C25" s="160" t="s">
        <v>47</v>
      </c>
      <c r="D25" s="160" t="s">
        <v>26</v>
      </c>
      <c r="E25" s="127">
        <f>(17000000000-835201245)/1000000</f>
        <v>16164.798755</v>
      </c>
      <c r="F25" s="128">
        <f>(5963575600+12348762000)/1000000</f>
        <v>18312.337599999999</v>
      </c>
      <c r="G25" s="123"/>
      <c r="H25" s="123"/>
      <c r="I25" s="123"/>
      <c r="J25" s="123"/>
      <c r="K25" s="123"/>
      <c r="L25" s="124">
        <f>7937940779/1000000</f>
        <v>7937.9407789999996</v>
      </c>
      <c r="M25" s="129">
        <f>(9990588473+12412005810)/1000000</f>
        <v>22402.594282999999</v>
      </c>
      <c r="N25" s="123"/>
      <c r="O25" s="123"/>
      <c r="P25" s="123"/>
      <c r="Q25" s="124">
        <f>100000000000/1000000</f>
        <v>100000</v>
      </c>
      <c r="R25" s="123"/>
      <c r="S25" s="124">
        <f>9971912443/1000000</f>
        <v>9971.9124429999993</v>
      </c>
      <c r="T25" s="129">
        <f>(13198264347+12539125868)/1000000</f>
        <v>25737.390214999999</v>
      </c>
      <c r="U25" s="123"/>
      <c r="V25" s="123"/>
      <c r="W25" s="123"/>
      <c r="X25" s="124">
        <f>50000000000/1000000</f>
        <v>50000</v>
      </c>
      <c r="Y25" s="123"/>
      <c r="Z25" s="124">
        <f>8920100044/1000000</f>
        <v>8920.1000440000007</v>
      </c>
      <c r="AA25" s="129">
        <f>(13396238299+12731712756)/1000000</f>
        <v>26127.951055000001</v>
      </c>
      <c r="AB25" s="123"/>
      <c r="AC25" s="123"/>
      <c r="AD25" s="123"/>
      <c r="AE25" s="123"/>
      <c r="AF25" s="123"/>
      <c r="AG25" s="126">
        <f>SUM(E25:AF25)</f>
        <v>285575.02517400001</v>
      </c>
      <c r="AH25" s="79"/>
      <c r="AI25" s="79"/>
      <c r="AJ25" s="79"/>
      <c r="AK25" s="79"/>
      <c r="AL25" s="80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</row>
    <row r="26" spans="1:100" s="1" customFormat="1" ht="87" customHeight="1" x14ac:dyDescent="0.25">
      <c r="A26" s="112" t="s">
        <v>48</v>
      </c>
      <c r="B26" s="160" t="s">
        <v>49</v>
      </c>
      <c r="C26" s="160" t="s">
        <v>50</v>
      </c>
      <c r="D26" s="160" t="s">
        <v>26</v>
      </c>
      <c r="E26" s="122">
        <f>3500000000/1000000</f>
        <v>3500</v>
      </c>
      <c r="F26" s="123"/>
      <c r="G26" s="123"/>
      <c r="H26" s="123"/>
      <c r="I26" s="123"/>
      <c r="J26" s="123"/>
      <c r="K26" s="123"/>
      <c r="L26" s="124">
        <f>1000000000/1000000</f>
        <v>1000</v>
      </c>
      <c r="M26" s="123"/>
      <c r="N26" s="123"/>
      <c r="O26" s="123"/>
      <c r="P26" s="123"/>
      <c r="Q26" s="123"/>
      <c r="R26" s="123"/>
      <c r="S26" s="124">
        <f>500000000/1000000</f>
        <v>500</v>
      </c>
      <c r="T26" s="123"/>
      <c r="U26" s="123"/>
      <c r="V26" s="123"/>
      <c r="W26" s="123"/>
      <c r="X26" s="123"/>
      <c r="Y26" s="123"/>
      <c r="Z26" s="124">
        <f>500000000/1000000</f>
        <v>500</v>
      </c>
      <c r="AA26" s="123"/>
      <c r="AB26" s="123"/>
      <c r="AC26" s="123"/>
      <c r="AD26" s="123"/>
      <c r="AE26" s="123"/>
      <c r="AF26" s="123"/>
      <c r="AG26" s="126">
        <f>SUM(E26:AF26)</f>
        <v>5500</v>
      </c>
      <c r="AH26" s="79"/>
      <c r="AI26" s="79"/>
      <c r="AJ26" s="79"/>
      <c r="AK26" s="79"/>
      <c r="AL26" s="80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</row>
    <row r="27" spans="1:100" s="1" customFormat="1" ht="18" customHeight="1" x14ac:dyDescent="0.25">
      <c r="A27" s="192"/>
      <c r="B27" s="192"/>
      <c r="C27" s="192"/>
      <c r="D27" s="192"/>
      <c r="E27" s="192"/>
      <c r="F27" s="192"/>
      <c r="G27" s="192"/>
      <c r="H27" s="192"/>
      <c r="I27" s="192"/>
      <c r="J27" s="192"/>
      <c r="K27" s="192"/>
      <c r="L27" s="192"/>
      <c r="M27" s="192"/>
      <c r="N27" s="192"/>
      <c r="O27" s="192"/>
      <c r="P27" s="192"/>
      <c r="Q27" s="192"/>
      <c r="R27" s="192"/>
      <c r="S27" s="192"/>
      <c r="T27" s="192"/>
      <c r="U27" s="192"/>
      <c r="V27" s="192"/>
      <c r="W27" s="192"/>
      <c r="X27" s="192"/>
      <c r="Y27" s="192"/>
      <c r="Z27" s="192"/>
      <c r="AA27" s="192"/>
      <c r="AB27" s="192"/>
      <c r="AC27" s="192"/>
      <c r="AD27" s="192"/>
      <c r="AE27" s="192"/>
      <c r="AF27" s="192"/>
      <c r="AG27" s="192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</row>
    <row r="28" spans="1:100" s="1" customFormat="1" ht="15.95" customHeight="1" x14ac:dyDescent="0.25">
      <c r="A28" s="195" t="s">
        <v>51</v>
      </c>
      <c r="B28" s="196" t="s">
        <v>52</v>
      </c>
      <c r="C28" s="196"/>
      <c r="D28" s="196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80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</row>
    <row r="29" spans="1:100" s="1" customFormat="1" ht="9.9499999999999993" customHeight="1" x14ac:dyDescent="0.25">
      <c r="A29" s="195"/>
      <c r="B29" s="196"/>
      <c r="C29" s="196"/>
      <c r="D29" s="196"/>
      <c r="E29" s="5"/>
      <c r="F29" s="14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</row>
    <row r="30" spans="1:100" s="1" customFormat="1" ht="21.95" customHeight="1" x14ac:dyDescent="0.25">
      <c r="A30" s="170" t="s">
        <v>7</v>
      </c>
      <c r="B30" s="188" t="s">
        <v>53</v>
      </c>
      <c r="C30" s="189"/>
      <c r="D30" s="190"/>
      <c r="E30" s="5"/>
      <c r="F30" s="14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</row>
    <row r="31" spans="1:100" s="1" customFormat="1" ht="15" customHeight="1" x14ac:dyDescent="0.25">
      <c r="A31" s="35"/>
      <c r="B31" s="36"/>
      <c r="C31" s="36"/>
      <c r="D31" s="36"/>
      <c r="E31" s="197" t="s">
        <v>9</v>
      </c>
      <c r="F31" s="197"/>
      <c r="G31" s="197"/>
      <c r="H31" s="197"/>
      <c r="I31" s="197"/>
      <c r="J31" s="197"/>
      <c r="K31" s="197"/>
      <c r="L31" s="229" t="s">
        <v>9</v>
      </c>
      <c r="M31" s="229"/>
      <c r="N31" s="229"/>
      <c r="O31" s="229"/>
      <c r="P31" s="229"/>
      <c r="Q31" s="229"/>
      <c r="R31" s="229"/>
      <c r="S31" s="197" t="s">
        <v>9</v>
      </c>
      <c r="T31" s="197"/>
      <c r="U31" s="197"/>
      <c r="V31" s="197"/>
      <c r="W31" s="197"/>
      <c r="X31" s="197"/>
      <c r="Y31" s="197"/>
      <c r="Z31" s="197" t="s">
        <v>9</v>
      </c>
      <c r="AA31" s="197"/>
      <c r="AB31" s="197"/>
      <c r="AC31" s="197"/>
      <c r="AD31" s="197"/>
      <c r="AE31" s="197"/>
      <c r="AF31" s="197"/>
      <c r="AG31" s="220" t="s">
        <v>10</v>
      </c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</row>
    <row r="32" spans="1:100" s="1" customFormat="1" ht="15.95" customHeight="1" x14ac:dyDescent="0.25">
      <c r="A32" s="193" t="s">
        <v>11</v>
      </c>
      <c r="B32" s="193" t="s">
        <v>12</v>
      </c>
      <c r="C32" s="193" t="s">
        <v>13</v>
      </c>
      <c r="D32" s="193" t="s">
        <v>14</v>
      </c>
      <c r="E32" s="194">
        <v>2020</v>
      </c>
      <c r="F32" s="194"/>
      <c r="G32" s="194"/>
      <c r="H32" s="194"/>
      <c r="I32" s="194"/>
      <c r="J32" s="194"/>
      <c r="K32" s="194"/>
      <c r="L32" s="224">
        <v>2021</v>
      </c>
      <c r="M32" s="225"/>
      <c r="N32" s="225"/>
      <c r="O32" s="225"/>
      <c r="P32" s="225"/>
      <c r="Q32" s="225"/>
      <c r="R32" s="226"/>
      <c r="S32" s="194">
        <v>2022</v>
      </c>
      <c r="T32" s="194"/>
      <c r="U32" s="194"/>
      <c r="V32" s="194"/>
      <c r="W32" s="194"/>
      <c r="X32" s="194"/>
      <c r="Y32" s="194"/>
      <c r="Z32" s="194">
        <v>2023</v>
      </c>
      <c r="AA32" s="194"/>
      <c r="AB32" s="194"/>
      <c r="AC32" s="194"/>
      <c r="AD32" s="194"/>
      <c r="AE32" s="194"/>
      <c r="AF32" s="194"/>
      <c r="AG32" s="221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</row>
    <row r="33" spans="1:100" s="1" customFormat="1" ht="59.1" customHeight="1" x14ac:dyDescent="0.25">
      <c r="A33" s="193"/>
      <c r="B33" s="193"/>
      <c r="C33" s="193"/>
      <c r="D33" s="193"/>
      <c r="E33" s="169" t="s">
        <v>15</v>
      </c>
      <c r="F33" s="169" t="s">
        <v>16</v>
      </c>
      <c r="G33" s="169" t="s">
        <v>17</v>
      </c>
      <c r="H33" s="169" t="s">
        <v>18</v>
      </c>
      <c r="I33" s="169" t="s">
        <v>19</v>
      </c>
      <c r="J33" s="169" t="s">
        <v>20</v>
      </c>
      <c r="K33" s="169" t="s">
        <v>22</v>
      </c>
      <c r="L33" s="169" t="s">
        <v>15</v>
      </c>
      <c r="M33" s="169" t="s">
        <v>16</v>
      </c>
      <c r="N33" s="169" t="s">
        <v>17</v>
      </c>
      <c r="O33" s="169" t="s">
        <v>18</v>
      </c>
      <c r="P33" s="169" t="s">
        <v>19</v>
      </c>
      <c r="Q33" s="169" t="s">
        <v>20</v>
      </c>
      <c r="R33" s="169" t="s">
        <v>22</v>
      </c>
      <c r="S33" s="169" t="s">
        <v>15</v>
      </c>
      <c r="T33" s="169" t="s">
        <v>16</v>
      </c>
      <c r="U33" s="169" t="s">
        <v>17</v>
      </c>
      <c r="V33" s="169" t="s">
        <v>18</v>
      </c>
      <c r="W33" s="169" t="s">
        <v>19</v>
      </c>
      <c r="X33" s="169" t="s">
        <v>20</v>
      </c>
      <c r="Y33" s="169" t="s">
        <v>22</v>
      </c>
      <c r="Z33" s="169" t="s">
        <v>15</v>
      </c>
      <c r="AA33" s="169" t="s">
        <v>16</v>
      </c>
      <c r="AB33" s="169" t="s">
        <v>17</v>
      </c>
      <c r="AC33" s="169" t="s">
        <v>18</v>
      </c>
      <c r="AD33" s="169" t="s">
        <v>19</v>
      </c>
      <c r="AE33" s="169" t="s">
        <v>20</v>
      </c>
      <c r="AF33" s="169" t="s">
        <v>22</v>
      </c>
      <c r="AG33" s="222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</row>
    <row r="34" spans="1:100" s="4" customFormat="1" ht="75" customHeight="1" x14ac:dyDescent="0.25">
      <c r="A34" s="130" t="s">
        <v>54</v>
      </c>
      <c r="B34" s="160" t="s">
        <v>55</v>
      </c>
      <c r="C34" s="160" t="s">
        <v>56</v>
      </c>
      <c r="D34" s="160" t="s">
        <v>26</v>
      </c>
      <c r="E34" s="122">
        <f>2200000000/1000000</f>
        <v>2200</v>
      </c>
      <c r="F34" s="123"/>
      <c r="G34" s="123"/>
      <c r="H34" s="123"/>
      <c r="I34" s="123"/>
      <c r="J34" s="123"/>
      <c r="K34" s="123"/>
      <c r="L34" s="122">
        <f>1200000000/1000000</f>
        <v>1200</v>
      </c>
      <c r="M34" s="123"/>
      <c r="N34" s="123"/>
      <c r="O34" s="123"/>
      <c r="P34" s="123"/>
      <c r="Q34" s="123"/>
      <c r="R34" s="123"/>
      <c r="S34" s="124">
        <f>1180000000/1000000</f>
        <v>1180</v>
      </c>
      <c r="T34" s="123"/>
      <c r="U34" s="123"/>
      <c r="V34" s="123"/>
      <c r="W34" s="123"/>
      <c r="X34" s="123"/>
      <c r="Y34" s="123"/>
      <c r="Z34" s="124">
        <f>1140000000/1000000</f>
        <v>1140</v>
      </c>
      <c r="AA34" s="123"/>
      <c r="AB34" s="123"/>
      <c r="AC34" s="123"/>
      <c r="AD34" s="123"/>
      <c r="AE34" s="123"/>
      <c r="AF34" s="123"/>
      <c r="AG34" s="122">
        <f>SUM(E34:AF34)</f>
        <v>5720</v>
      </c>
      <c r="AH34" s="79"/>
      <c r="AI34" s="79"/>
      <c r="AJ34" s="79"/>
      <c r="AK34" s="79"/>
      <c r="AL34" s="80"/>
    </row>
    <row r="35" spans="1:100" s="4" customFormat="1" ht="66" customHeight="1" x14ac:dyDescent="0.25">
      <c r="A35" s="131" t="s">
        <v>57</v>
      </c>
      <c r="B35" s="160">
        <v>45</v>
      </c>
      <c r="C35" s="160">
        <v>4599</v>
      </c>
      <c r="D35" s="160" t="s">
        <v>26</v>
      </c>
      <c r="E35" s="122">
        <f>(3000000000+3400000000+3000000000+1000000000+600000000)/1000000</f>
        <v>11000</v>
      </c>
      <c r="F35" s="124">
        <f>(66145000+100000000+1445163840)/1000000</f>
        <v>1611.3088399999999</v>
      </c>
      <c r="G35" s="123"/>
      <c r="H35" s="123"/>
      <c r="I35" s="123"/>
      <c r="J35" s="123"/>
      <c r="K35" s="123"/>
      <c r="L35" s="124">
        <f>(800000000+2750000000+2750000000+1000000000)/1000000</f>
        <v>7300</v>
      </c>
      <c r="M35" s="124">
        <f>(100500000+66475725+1270840952)/1000000</f>
        <v>1437.816677</v>
      </c>
      <c r="N35" s="123"/>
      <c r="O35" s="123"/>
      <c r="P35" s="123"/>
      <c r="Q35" s="123"/>
      <c r="R35" s="123"/>
      <c r="S35" s="124">
        <f>(780000000+2100000000+1680000000+500000000)/1000000</f>
        <v>5060</v>
      </c>
      <c r="T35" s="124">
        <f>(101505000+67140482+1466913556)/1000000</f>
        <v>1635.5590380000001</v>
      </c>
      <c r="U35" s="123"/>
      <c r="V35" s="123"/>
      <c r="W35" s="123"/>
      <c r="X35" s="123"/>
      <c r="Y35" s="123"/>
      <c r="Z35" s="124">
        <f>(740000000+1640000000+1640000000+500000000)/1000000</f>
        <v>4520</v>
      </c>
      <c r="AA35" s="124">
        <f>(103027575+1488917259)/1000000</f>
        <v>1591.9448339999999</v>
      </c>
      <c r="AB35" s="123"/>
      <c r="AC35" s="123"/>
      <c r="AD35" s="123"/>
      <c r="AE35" s="123"/>
      <c r="AF35" s="123"/>
      <c r="AG35" s="122">
        <f>SUM(E35:AF35)</f>
        <v>34156.629388999994</v>
      </c>
      <c r="AH35" s="79"/>
      <c r="AI35" s="79"/>
      <c r="AJ35" s="79"/>
      <c r="AK35" s="79"/>
      <c r="AL35" s="80"/>
    </row>
    <row r="36" spans="1:100" s="4" customFormat="1" ht="41.1" customHeight="1" x14ac:dyDescent="0.25">
      <c r="A36" s="132" t="s">
        <v>58</v>
      </c>
      <c r="B36" s="160">
        <v>45</v>
      </c>
      <c r="C36" s="160">
        <v>4501</v>
      </c>
      <c r="D36" s="160" t="s">
        <v>26</v>
      </c>
      <c r="E36" s="134"/>
      <c r="F36" s="122">
        <f>2749000000/1000000</f>
        <v>2749</v>
      </c>
      <c r="G36" s="123"/>
      <c r="H36" s="123"/>
      <c r="I36" s="123"/>
      <c r="J36" s="123"/>
      <c r="K36" s="123"/>
      <c r="L36" s="134"/>
      <c r="M36" s="124">
        <f>2762745000/1000000</f>
        <v>2762.7449999999999</v>
      </c>
      <c r="N36" s="123"/>
      <c r="O36" s="123"/>
      <c r="P36" s="123"/>
      <c r="Q36" s="123"/>
      <c r="R36" s="123"/>
      <c r="S36" s="134"/>
      <c r="T36" s="124">
        <f>2790372450/1000000</f>
        <v>2790.3724499999998</v>
      </c>
      <c r="U36" s="123"/>
      <c r="V36" s="123"/>
      <c r="W36" s="123"/>
      <c r="X36" s="123"/>
      <c r="Y36" s="123"/>
      <c r="Z36" s="134"/>
      <c r="AA36" s="124">
        <f>2832228037/1000000</f>
        <v>2832.2280369999999</v>
      </c>
      <c r="AB36" s="123"/>
      <c r="AC36" s="123"/>
      <c r="AD36" s="123"/>
      <c r="AE36" s="123"/>
      <c r="AF36" s="123"/>
      <c r="AG36" s="122">
        <f>SUM(E36:AF36)</f>
        <v>11134.345486999999</v>
      </c>
      <c r="AH36" s="79"/>
      <c r="AI36" s="79"/>
      <c r="AJ36" s="79"/>
      <c r="AK36" s="79"/>
      <c r="AL36" s="80"/>
    </row>
    <row r="37" spans="1:100" s="4" customFormat="1" ht="17.100000000000001" customHeight="1" x14ac:dyDescent="0.25">
      <c r="AG37" s="165"/>
    </row>
    <row r="38" spans="1:100" s="4" customFormat="1" ht="14.25" customHeight="1" x14ac:dyDescent="0.25">
      <c r="A38" s="195" t="s">
        <v>59</v>
      </c>
      <c r="B38" s="196" t="s">
        <v>60</v>
      </c>
      <c r="C38" s="196"/>
      <c r="D38" s="196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66"/>
    </row>
    <row r="39" spans="1:100" s="4" customFormat="1" ht="9" customHeight="1" x14ac:dyDescent="0.25">
      <c r="A39" s="195"/>
      <c r="B39" s="196"/>
      <c r="C39" s="196"/>
      <c r="D39" s="196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</row>
    <row r="40" spans="1:100" s="4" customFormat="1" ht="21" customHeight="1" x14ac:dyDescent="0.25">
      <c r="A40" s="170" t="s">
        <v>7</v>
      </c>
      <c r="B40" s="188" t="s">
        <v>61</v>
      </c>
      <c r="C40" s="189"/>
      <c r="D40" s="190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</row>
    <row r="41" spans="1:100" s="4" customFormat="1" ht="18.95" customHeight="1" x14ac:dyDescent="0.25">
      <c r="A41" s="1"/>
      <c r="B41" s="1"/>
      <c r="C41" s="1"/>
      <c r="D41" s="1"/>
      <c r="E41" s="197" t="s">
        <v>9</v>
      </c>
      <c r="F41" s="197"/>
      <c r="G41" s="197"/>
      <c r="H41" s="197"/>
      <c r="I41" s="197"/>
      <c r="J41" s="197"/>
      <c r="K41" s="197"/>
      <c r="L41" s="229" t="s">
        <v>9</v>
      </c>
      <c r="M41" s="229"/>
      <c r="N41" s="229"/>
      <c r="O41" s="229"/>
      <c r="P41" s="229"/>
      <c r="Q41" s="229"/>
      <c r="R41" s="229"/>
      <c r="S41" s="197" t="s">
        <v>9</v>
      </c>
      <c r="T41" s="197"/>
      <c r="U41" s="197"/>
      <c r="V41" s="197"/>
      <c r="W41" s="197"/>
      <c r="X41" s="197"/>
      <c r="Y41" s="197"/>
      <c r="Z41" s="197" t="s">
        <v>9</v>
      </c>
      <c r="AA41" s="197"/>
      <c r="AB41" s="197"/>
      <c r="AC41" s="197"/>
      <c r="AD41" s="197"/>
      <c r="AE41" s="197"/>
      <c r="AF41" s="197"/>
      <c r="AG41" s="220" t="s">
        <v>10</v>
      </c>
    </row>
    <row r="42" spans="1:100" s="4" customFormat="1" ht="18.95" customHeight="1" x14ac:dyDescent="0.25">
      <c r="A42" s="193" t="s">
        <v>11</v>
      </c>
      <c r="B42" s="193" t="s">
        <v>12</v>
      </c>
      <c r="C42" s="193" t="s">
        <v>13</v>
      </c>
      <c r="D42" s="193" t="s">
        <v>14</v>
      </c>
      <c r="E42" s="194">
        <v>2020</v>
      </c>
      <c r="F42" s="194"/>
      <c r="G42" s="194"/>
      <c r="H42" s="194"/>
      <c r="I42" s="194"/>
      <c r="J42" s="194"/>
      <c r="K42" s="194"/>
      <c r="L42" s="194">
        <v>2021</v>
      </c>
      <c r="M42" s="194"/>
      <c r="N42" s="194"/>
      <c r="O42" s="194"/>
      <c r="P42" s="194"/>
      <c r="Q42" s="194"/>
      <c r="R42" s="194"/>
      <c r="S42" s="194">
        <v>2022</v>
      </c>
      <c r="T42" s="194"/>
      <c r="U42" s="194"/>
      <c r="V42" s="194"/>
      <c r="W42" s="194"/>
      <c r="X42" s="194"/>
      <c r="Y42" s="194"/>
      <c r="Z42" s="194">
        <v>2023</v>
      </c>
      <c r="AA42" s="194"/>
      <c r="AB42" s="194"/>
      <c r="AC42" s="194"/>
      <c r="AD42" s="194"/>
      <c r="AE42" s="194"/>
      <c r="AF42" s="194"/>
      <c r="AG42" s="221"/>
    </row>
    <row r="43" spans="1:100" s="4" customFormat="1" ht="60.95" customHeight="1" x14ac:dyDescent="0.25">
      <c r="A43" s="193"/>
      <c r="B43" s="193"/>
      <c r="C43" s="193"/>
      <c r="D43" s="193"/>
      <c r="E43" s="169" t="s">
        <v>15</v>
      </c>
      <c r="F43" s="169" t="s">
        <v>16</v>
      </c>
      <c r="G43" s="169" t="s">
        <v>17</v>
      </c>
      <c r="H43" s="169" t="s">
        <v>18</v>
      </c>
      <c r="I43" s="169" t="s">
        <v>19</v>
      </c>
      <c r="J43" s="169" t="s">
        <v>20</v>
      </c>
      <c r="K43" s="169" t="s">
        <v>22</v>
      </c>
      <c r="L43" s="169" t="s">
        <v>15</v>
      </c>
      <c r="M43" s="169" t="s">
        <v>16</v>
      </c>
      <c r="N43" s="169" t="s">
        <v>17</v>
      </c>
      <c r="O43" s="169" t="s">
        <v>18</v>
      </c>
      <c r="P43" s="169" t="s">
        <v>19</v>
      </c>
      <c r="Q43" s="169" t="s">
        <v>20</v>
      </c>
      <c r="R43" s="169" t="s">
        <v>22</v>
      </c>
      <c r="S43" s="169" t="s">
        <v>15</v>
      </c>
      <c r="T43" s="169" t="s">
        <v>16</v>
      </c>
      <c r="U43" s="169" t="s">
        <v>17</v>
      </c>
      <c r="V43" s="169" t="s">
        <v>18</v>
      </c>
      <c r="W43" s="169" t="s">
        <v>19</v>
      </c>
      <c r="X43" s="169" t="s">
        <v>20</v>
      </c>
      <c r="Y43" s="169" t="s">
        <v>22</v>
      </c>
      <c r="Z43" s="169" t="s">
        <v>15</v>
      </c>
      <c r="AA43" s="169" t="s">
        <v>16</v>
      </c>
      <c r="AB43" s="169" t="s">
        <v>17</v>
      </c>
      <c r="AC43" s="169" t="s">
        <v>18</v>
      </c>
      <c r="AD43" s="169" t="s">
        <v>19</v>
      </c>
      <c r="AE43" s="169" t="s">
        <v>20</v>
      </c>
      <c r="AF43" s="169" t="s">
        <v>22</v>
      </c>
      <c r="AG43" s="222"/>
    </row>
    <row r="44" spans="1:100" s="4" customFormat="1" ht="54.95" customHeight="1" x14ac:dyDescent="0.25">
      <c r="A44" s="133" t="s">
        <v>62</v>
      </c>
      <c r="B44" s="160">
        <v>32</v>
      </c>
      <c r="C44" s="160" t="s">
        <v>63</v>
      </c>
      <c r="D44" s="160" t="s">
        <v>64</v>
      </c>
      <c r="E44" s="135">
        <f>(300000000+1624890890)/1000000</f>
        <v>1924.8908899999999</v>
      </c>
      <c r="F44" s="123"/>
      <c r="G44" s="123"/>
      <c r="H44" s="123"/>
      <c r="I44" s="123"/>
      <c r="J44" s="123"/>
      <c r="K44" s="123"/>
      <c r="L44" s="124">
        <f>(300000000+1633006299)/1000000</f>
        <v>1933.0062989999999</v>
      </c>
      <c r="M44" s="136"/>
      <c r="N44" s="123"/>
      <c r="O44" s="123"/>
      <c r="P44" s="123"/>
      <c r="Q44" s="123"/>
      <c r="R44" s="123"/>
      <c r="S44" s="124">
        <f>(300000000+1649336362)/1000000</f>
        <v>1949.336362</v>
      </c>
      <c r="T44" s="136"/>
      <c r="U44" s="123"/>
      <c r="V44" s="123"/>
      <c r="W44" s="123"/>
      <c r="X44" s="123"/>
      <c r="Y44" s="123"/>
      <c r="Z44" s="124">
        <f>(300000000+1674076408)/1000000</f>
        <v>1974.0764079999999</v>
      </c>
      <c r="AA44" s="136"/>
      <c r="AB44" s="123"/>
      <c r="AC44" s="123"/>
      <c r="AD44" s="123"/>
      <c r="AE44" s="123"/>
      <c r="AF44" s="123"/>
      <c r="AG44" s="126">
        <f>SUM(E44:AF44)</f>
        <v>7781.3099589999993</v>
      </c>
      <c r="AH44" s="79"/>
      <c r="AI44" s="79"/>
      <c r="AJ44" s="79"/>
      <c r="AK44" s="79"/>
      <c r="AL44" s="80"/>
    </row>
    <row r="45" spans="1:100" s="4" customFormat="1" ht="69" customHeight="1" x14ac:dyDescent="0.25">
      <c r="A45" s="133" t="s">
        <v>65</v>
      </c>
      <c r="B45" s="160" t="s">
        <v>66</v>
      </c>
      <c r="C45" s="160" t="s">
        <v>67</v>
      </c>
      <c r="D45" s="160" t="s">
        <v>64</v>
      </c>
      <c r="E45" s="135">
        <f>(2200000000+200000000)/1000000</f>
        <v>2400</v>
      </c>
      <c r="F45" s="123"/>
      <c r="G45" s="123"/>
      <c r="H45" s="123"/>
      <c r="I45" s="123"/>
      <c r="J45" s="123"/>
      <c r="K45" s="123"/>
      <c r="L45" s="124">
        <f>(4950000000+200000000)/1000000</f>
        <v>5150</v>
      </c>
      <c r="M45" s="123"/>
      <c r="N45" s="123"/>
      <c r="O45" s="123"/>
      <c r="P45" s="123"/>
      <c r="Q45" s="123"/>
      <c r="R45" s="123"/>
      <c r="S45" s="124">
        <f>(1680000000+200000000)/1000000</f>
        <v>1880</v>
      </c>
      <c r="T45" s="123"/>
      <c r="U45" s="123"/>
      <c r="V45" s="123"/>
      <c r="W45" s="123"/>
      <c r="X45" s="123"/>
      <c r="Y45" s="123"/>
      <c r="Z45" s="124">
        <f>(1640000000+200000000)/1000000</f>
        <v>1840</v>
      </c>
      <c r="AA45" s="123"/>
      <c r="AB45" s="123"/>
      <c r="AC45" s="123"/>
      <c r="AD45" s="123"/>
      <c r="AE45" s="123"/>
      <c r="AF45" s="123"/>
      <c r="AG45" s="126">
        <f>SUM(E45:AF45)</f>
        <v>11270</v>
      </c>
      <c r="AH45" s="79"/>
      <c r="AI45" s="79"/>
      <c r="AJ45" s="79"/>
      <c r="AK45" s="79"/>
      <c r="AL45" s="80"/>
    </row>
    <row r="46" spans="1:100" s="4" customFormat="1" ht="54.95" customHeight="1" x14ac:dyDescent="0.25">
      <c r="A46" s="132" t="s">
        <v>68</v>
      </c>
      <c r="B46" s="160" t="s">
        <v>69</v>
      </c>
      <c r="C46" s="160" t="s">
        <v>70</v>
      </c>
      <c r="D46" s="160" t="s">
        <v>64</v>
      </c>
      <c r="E46" s="123"/>
      <c r="F46" s="129">
        <f>300000000/1000000</f>
        <v>300</v>
      </c>
      <c r="G46" s="137">
        <f>9599157000/1000000</f>
        <v>9599.1569999999992</v>
      </c>
      <c r="H46" s="123"/>
      <c r="I46" s="123"/>
      <c r="J46" s="123"/>
      <c r="K46" s="123"/>
      <c r="L46" s="123"/>
      <c r="M46" s="129">
        <f>300000000/1000000</f>
        <v>300</v>
      </c>
      <c r="N46" s="122">
        <f>9647152785/1000000</f>
        <v>9647.1527850000002</v>
      </c>
      <c r="O46" s="123"/>
      <c r="P46" s="123"/>
      <c r="Q46" s="123"/>
      <c r="R46" s="123"/>
      <c r="S46" s="123"/>
      <c r="T46" s="129">
        <f>300000000/1000000</f>
        <v>300</v>
      </c>
      <c r="U46" s="122">
        <f>9743624311.5/1000000</f>
        <v>9743.6243114999997</v>
      </c>
      <c r="V46" s="123"/>
      <c r="W46" s="123"/>
      <c r="X46" s="123"/>
      <c r="Y46" s="123"/>
      <c r="Z46" s="123"/>
      <c r="AA46" s="129">
        <f>300000000/1000000</f>
        <v>300</v>
      </c>
      <c r="AB46" s="122">
        <f>9889778678/1000000</f>
        <v>9889.7786780000006</v>
      </c>
      <c r="AC46" s="123"/>
      <c r="AD46" s="123"/>
      <c r="AE46" s="123"/>
      <c r="AF46" s="123"/>
      <c r="AG46" s="126">
        <f>SUM(E46:AF46)</f>
        <v>40079.712774499996</v>
      </c>
      <c r="AH46" s="79"/>
      <c r="AI46" s="79"/>
      <c r="AJ46" s="79"/>
      <c r="AK46" s="79"/>
      <c r="AL46" s="80"/>
    </row>
    <row r="47" spans="1:100" s="4" customFormat="1" ht="20.100000000000001" customHeight="1" x14ac:dyDescent="0.25">
      <c r="A47" s="198"/>
      <c r="B47" s="198"/>
      <c r="C47" s="198"/>
      <c r="D47" s="198"/>
      <c r="E47" s="198"/>
      <c r="F47" s="198"/>
      <c r="G47" s="198"/>
      <c r="H47" s="198"/>
      <c r="I47" s="198"/>
      <c r="J47" s="198"/>
      <c r="K47" s="198"/>
      <c r="L47" s="198"/>
      <c r="M47" s="198"/>
      <c r="N47" s="198"/>
      <c r="O47" s="198"/>
      <c r="P47" s="198"/>
      <c r="Q47" s="198"/>
      <c r="R47" s="198"/>
      <c r="S47" s="198"/>
      <c r="T47" s="198"/>
      <c r="U47" s="198"/>
      <c r="V47" s="198"/>
      <c r="W47" s="198"/>
      <c r="X47" s="198"/>
      <c r="Y47" s="198"/>
      <c r="Z47" s="198"/>
      <c r="AA47" s="198"/>
      <c r="AB47" s="198"/>
      <c r="AC47" s="198"/>
      <c r="AD47" s="198"/>
      <c r="AE47" s="198"/>
      <c r="AF47" s="198"/>
      <c r="AG47" s="198"/>
    </row>
    <row r="48" spans="1:100" s="4" customFormat="1" ht="12" customHeight="1" x14ac:dyDescent="0.25">
      <c r="A48" s="176"/>
      <c r="B48" s="176"/>
      <c r="C48" s="176"/>
      <c r="D48" s="176"/>
      <c r="E48" s="176"/>
      <c r="F48" s="176"/>
      <c r="G48" s="176"/>
      <c r="H48" s="176"/>
      <c r="I48" s="176"/>
      <c r="J48" s="176"/>
      <c r="K48" s="176"/>
      <c r="L48" s="176"/>
      <c r="M48" s="176"/>
      <c r="N48" s="176"/>
      <c r="O48" s="176"/>
      <c r="P48" s="176"/>
      <c r="Q48" s="176"/>
      <c r="R48" s="176"/>
      <c r="S48" s="176"/>
      <c r="T48" s="176"/>
      <c r="U48" s="176"/>
      <c r="V48" s="176"/>
      <c r="W48" s="176"/>
      <c r="X48" s="176"/>
      <c r="Y48" s="176"/>
      <c r="Z48" s="176"/>
      <c r="AA48" s="176"/>
      <c r="AB48" s="176"/>
      <c r="AC48" s="176"/>
      <c r="AD48" s="176"/>
      <c r="AE48" s="176"/>
      <c r="AF48" s="176"/>
      <c r="AG48" s="176"/>
    </row>
    <row r="49" spans="1:34" s="4" customFormat="1" ht="27.95" customHeight="1" x14ac:dyDescent="0.3">
      <c r="A49" s="227" t="s">
        <v>71</v>
      </c>
      <c r="B49" s="228"/>
      <c r="C49" s="228"/>
      <c r="D49" s="228"/>
      <c r="E49" s="228"/>
      <c r="F49" s="203" t="s">
        <v>72</v>
      </c>
      <c r="G49" s="12"/>
      <c r="H49" s="12"/>
      <c r="I49" s="12"/>
      <c r="J49" s="12"/>
      <c r="K49" s="12"/>
      <c r="L49" s="12"/>
      <c r="M49" s="12"/>
      <c r="N49" s="12"/>
      <c r="O49" s="12"/>
      <c r="P49" s="181"/>
      <c r="Q49" s="181"/>
      <c r="R49" s="182"/>
      <c r="S49" s="205" t="s">
        <v>73</v>
      </c>
      <c r="T49" s="206"/>
      <c r="U49" s="23" t="s">
        <v>74</v>
      </c>
      <c r="V49" s="26"/>
      <c r="W49" s="38" t="s">
        <v>75</v>
      </c>
      <c r="X49" s="12"/>
      <c r="Y49" s="12"/>
      <c r="Z49" s="185" t="s">
        <v>71</v>
      </c>
      <c r="AA49" s="186"/>
      <c r="AB49" s="186"/>
      <c r="AC49" s="186"/>
      <c r="AD49" s="186"/>
      <c r="AE49" s="187"/>
      <c r="AF49" s="199" t="s">
        <v>72</v>
      </c>
      <c r="AG49" s="176"/>
    </row>
    <row r="50" spans="1:34" s="4" customFormat="1" ht="63" customHeight="1" x14ac:dyDescent="0.25">
      <c r="A50" s="18" t="s">
        <v>76</v>
      </c>
      <c r="B50" s="18">
        <v>2020</v>
      </c>
      <c r="C50" s="18">
        <v>2021</v>
      </c>
      <c r="D50" s="18">
        <v>2022</v>
      </c>
      <c r="E50" s="21">
        <v>2023</v>
      </c>
      <c r="F50" s="204"/>
      <c r="G50" s="12"/>
      <c r="H50" s="12"/>
      <c r="I50" s="12"/>
      <c r="J50" s="12"/>
      <c r="K50" s="12"/>
      <c r="L50" s="12"/>
      <c r="M50" s="12"/>
      <c r="N50" s="12"/>
      <c r="O50" s="12"/>
      <c r="P50" s="22" t="s">
        <v>77</v>
      </c>
      <c r="Q50" s="22" t="s">
        <v>78</v>
      </c>
      <c r="R50" s="24" t="s">
        <v>79</v>
      </c>
      <c r="S50" s="24" t="s">
        <v>80</v>
      </c>
      <c r="T50" s="24" t="s">
        <v>81</v>
      </c>
      <c r="U50" s="25" t="s">
        <v>82</v>
      </c>
      <c r="V50" s="24" t="s">
        <v>83</v>
      </c>
      <c r="W50" s="24" t="s">
        <v>84</v>
      </c>
      <c r="X50" s="12"/>
      <c r="Y50" s="12"/>
      <c r="Z50" s="183" t="s">
        <v>85</v>
      </c>
      <c r="AA50" s="184"/>
      <c r="AB50" s="152">
        <v>2020</v>
      </c>
      <c r="AC50" s="152">
        <v>2021</v>
      </c>
      <c r="AD50" s="152">
        <v>2022</v>
      </c>
      <c r="AE50" s="152">
        <v>2023</v>
      </c>
      <c r="AF50" s="200"/>
      <c r="AG50" s="176"/>
    </row>
    <row r="51" spans="1:34" s="4" customFormat="1" ht="36" customHeight="1" x14ac:dyDescent="0.3">
      <c r="A51" s="138" t="s">
        <v>6</v>
      </c>
      <c r="B51" s="139">
        <f>+E11+E12+E13+E14+E15+F11+F12+F13+G11+G12+H11+I11+K11</f>
        <v>649858.77973100008</v>
      </c>
      <c r="C51" s="140">
        <f>+L11+L12+L13+L14+L15+M11+M12+M13+N11+N12+O11</f>
        <v>577843.87973799999</v>
      </c>
      <c r="D51" s="140">
        <f>+S11+S12+S13+S14+S15+T11+T12+T13+U11+U12+V11</f>
        <v>577615.7087824</v>
      </c>
      <c r="E51" s="141">
        <f>+Z11+Z12+Z13+Z14+Z15+AA11+AA12+AA13+AB11+AB12+AC11</f>
        <v>581170.92400545604</v>
      </c>
      <c r="F51" s="145">
        <f>SUM(B51:E51)</f>
        <v>2386489.2922568563</v>
      </c>
      <c r="G51" s="12"/>
      <c r="H51" s="37"/>
      <c r="I51" s="12"/>
      <c r="J51" s="12"/>
      <c r="K51" s="12"/>
      <c r="L51" s="12"/>
      <c r="M51" s="12"/>
      <c r="N51" s="12"/>
      <c r="O51" s="12"/>
      <c r="P51" s="147" t="s">
        <v>86</v>
      </c>
      <c r="Q51" s="148" t="s">
        <v>87</v>
      </c>
      <c r="R51" s="149">
        <f>-16393082748/1000000</f>
        <v>-16393.082748000001</v>
      </c>
      <c r="S51" s="149">
        <v>0</v>
      </c>
      <c r="T51" s="150">
        <f>41000000000/1000000</f>
        <v>41000</v>
      </c>
      <c r="U51" s="149">
        <f>10673271966/1000000</f>
        <v>10673.271966</v>
      </c>
      <c r="V51" s="149">
        <f>48759498322/1000000</f>
        <v>48759.498321999999</v>
      </c>
      <c r="W51" s="151">
        <f>SUM(R51:V51)</f>
        <v>84039.687539999999</v>
      </c>
      <c r="X51" s="12"/>
      <c r="Y51" s="12"/>
      <c r="Z51" s="215" t="s">
        <v>88</v>
      </c>
      <c r="AA51" s="216"/>
      <c r="AB51" s="153">
        <f>+E11+E12+E13+E14+E15+E23+E24+E25+E26+E34+E35+E36+E44+E45+E46</f>
        <v>82125.04987599999</v>
      </c>
      <c r="AC51" s="153">
        <f>+L11+L12+L13+L14+L15+L23+L24+L25+L26+L34+L35+L36+L44+L45+L46</f>
        <v>78237.111541999999</v>
      </c>
      <c r="AD51" s="153">
        <f>+S11+S12+S13+S14+S15+S23+S24+S25+S26+S34+S35+S36+S44+S45+S46</f>
        <v>66036.641628999991</v>
      </c>
      <c r="AE51" s="153">
        <f>+Z11+Z12+Z13+Z14+Z15+Z23+Z24+Z25+Z26+Z34+Z35+Z36+Z44+Z45+Z46</f>
        <v>60002.255344999998</v>
      </c>
      <c r="AF51" s="154">
        <f>SUM(AB51:AE51)</f>
        <v>286401.05839199998</v>
      </c>
      <c r="AG51" s="176"/>
      <c r="AH51" s="39"/>
    </row>
    <row r="52" spans="1:34" s="4" customFormat="1" ht="33" customHeight="1" x14ac:dyDescent="0.3">
      <c r="A52" s="138" t="s">
        <v>38</v>
      </c>
      <c r="B52" s="139">
        <f>+E23+E24+E25+E26+F25</f>
        <v>44927.136354999995</v>
      </c>
      <c r="C52" s="140">
        <f>+L23+L24+L25+L26+M25+Q25</f>
        <v>140940.53506199998</v>
      </c>
      <c r="D52" s="140">
        <f>+S23+S24+S25+S26+T25+X25</f>
        <v>92629.302658000001</v>
      </c>
      <c r="E52" s="141">
        <f>+Z23+Z24+Z25+Z26+AA25</f>
        <v>41808.051099000004</v>
      </c>
      <c r="F52" s="145">
        <f t="shared" ref="F52:F55" si="0">SUM(B52:E52)</f>
        <v>320305.02517399995</v>
      </c>
      <c r="G52" s="12"/>
      <c r="H52" s="12"/>
      <c r="I52" s="12"/>
      <c r="J52" s="12"/>
      <c r="K52" s="12"/>
      <c r="L52" s="12"/>
      <c r="M52" s="12"/>
      <c r="N52" s="12"/>
      <c r="O52" s="12"/>
      <c r="P52" s="147" t="s">
        <v>89</v>
      </c>
      <c r="Q52" s="148" t="s">
        <v>87</v>
      </c>
      <c r="R52" s="149">
        <f>5814120868/1000000</f>
        <v>5814.120868</v>
      </c>
      <c r="S52" s="149">
        <f>42752033461/1000000</f>
        <v>42752.033460999999</v>
      </c>
      <c r="T52" s="149">
        <v>0</v>
      </c>
      <c r="U52" s="149">
        <f>20062973105/1000000</f>
        <v>20062.973105000001</v>
      </c>
      <c r="V52" s="149">
        <f>18249256658/1000000</f>
        <v>18249.256657999998</v>
      </c>
      <c r="W52" s="151">
        <f>SUM(R52:V52)</f>
        <v>86878.384091999993</v>
      </c>
      <c r="X52" s="12"/>
      <c r="Y52" s="12"/>
      <c r="Z52" s="174" t="s">
        <v>90</v>
      </c>
      <c r="AA52" s="175"/>
      <c r="AB52" s="155">
        <f>+F11+F12+F13+F25+F35+F36+F46</f>
        <v>43363.93894</v>
      </c>
      <c r="AC52" s="155">
        <f>+M11+M12+M13+M25+M35+M36+M46</f>
        <v>47575.768628999998</v>
      </c>
      <c r="AD52" s="155">
        <f>+T11+T12+T13+T25+T35+T36+T46</f>
        <v>51159.140305000008</v>
      </c>
      <c r="AE52" s="155">
        <f>+AA11+AA12+AA13+AA25+AA35+AA36+AA46</f>
        <v>51858.472994000003</v>
      </c>
      <c r="AF52" s="154">
        <f t="shared" ref="AF52:AF58" si="1">SUM(AB52:AE52)</f>
        <v>193957.32086800001</v>
      </c>
      <c r="AG52" s="176"/>
      <c r="AH52" s="39"/>
    </row>
    <row r="53" spans="1:34" s="4" customFormat="1" ht="35.1" customHeight="1" x14ac:dyDescent="0.3">
      <c r="A53" s="138" t="s">
        <v>52</v>
      </c>
      <c r="B53" s="139">
        <f>+E34+E35+F35+F36</f>
        <v>17560.308839999998</v>
      </c>
      <c r="C53" s="139">
        <f>+L34+L35+L36+M35+M36</f>
        <v>12700.561677000002</v>
      </c>
      <c r="D53" s="139">
        <f>+S34+S35+S36+T35+T36</f>
        <v>10665.931488</v>
      </c>
      <c r="E53" s="141">
        <f>+Z34+Z35+Z36+AA35+AA36</f>
        <v>10084.172870999999</v>
      </c>
      <c r="F53" s="145">
        <f t="shared" si="0"/>
        <v>51010.974875999993</v>
      </c>
      <c r="G53" s="12"/>
      <c r="H53" s="12"/>
      <c r="I53" s="12"/>
      <c r="J53" s="12"/>
      <c r="K53" s="12"/>
      <c r="L53" s="12"/>
      <c r="M53" s="12"/>
      <c r="N53" s="12"/>
      <c r="O53" s="12"/>
      <c r="P53" s="147" t="s">
        <v>91</v>
      </c>
      <c r="Q53" s="148" t="s">
        <v>87</v>
      </c>
      <c r="R53" s="149">
        <f>4489065160/1000000</f>
        <v>4489.0651600000001</v>
      </c>
      <c r="S53" s="149">
        <f>41466242278/1000000</f>
        <v>41466.242277999998</v>
      </c>
      <c r="T53" s="149">
        <v>0</v>
      </c>
      <c r="U53" s="149">
        <f>19495132434/1000000</f>
        <v>19495.132433999999</v>
      </c>
      <c r="V53" s="149">
        <f>17227764244/1000000</f>
        <v>17227.764244000002</v>
      </c>
      <c r="W53" s="151">
        <f>SUM(R53:V53)</f>
        <v>82678.204115999994</v>
      </c>
      <c r="X53" s="12"/>
      <c r="Y53" s="12"/>
      <c r="Z53" s="174" t="s">
        <v>92</v>
      </c>
      <c r="AA53" s="175"/>
      <c r="AB53" s="155">
        <f>+G12+G11+G46</f>
        <v>491720.85200000001</v>
      </c>
      <c r="AC53" s="155">
        <f>+N12+N11+N46</f>
        <v>492309.93214500003</v>
      </c>
      <c r="AD53" s="155">
        <f>+U12+U11+U46</f>
        <v>497233.03146550001</v>
      </c>
      <c r="AE53" s="155">
        <f>+AB12+AB11+AB46</f>
        <v>504691.52693899994</v>
      </c>
      <c r="AF53" s="154">
        <f t="shared" si="1"/>
        <v>1985955.3425495001</v>
      </c>
      <c r="AG53" s="176"/>
      <c r="AH53" s="39"/>
    </row>
    <row r="54" spans="1:34" s="4" customFormat="1" ht="24" customHeight="1" x14ac:dyDescent="0.3">
      <c r="A54" s="138" t="s">
        <v>60</v>
      </c>
      <c r="B54" s="139">
        <f>+E44+E45+F46+G46</f>
        <v>14224.047889999998</v>
      </c>
      <c r="C54" s="140">
        <f>+L44+L45+M46+N46</f>
        <v>17030.159083999999</v>
      </c>
      <c r="D54" s="140">
        <f>+S44+S45+T46+U46</f>
        <v>13872.9606735</v>
      </c>
      <c r="E54" s="141">
        <f>+Z44+Z45+AA46+AB46</f>
        <v>14003.855086</v>
      </c>
      <c r="F54" s="145">
        <f t="shared" si="0"/>
        <v>59131.022733499995</v>
      </c>
      <c r="G54" s="12"/>
      <c r="H54" s="12"/>
      <c r="I54" s="12"/>
      <c r="J54" s="12"/>
      <c r="K54" s="12"/>
      <c r="L54" s="12"/>
      <c r="M54" s="12"/>
      <c r="N54" s="12"/>
      <c r="O54" s="12"/>
      <c r="P54" s="147" t="s">
        <v>93</v>
      </c>
      <c r="Q54" s="148" t="s">
        <v>87</v>
      </c>
      <c r="R54" s="149">
        <f>7296896812/1000000</f>
        <v>7296.896812</v>
      </c>
      <c r="S54" s="149">
        <f>53744301582/1000000</f>
        <v>53744.301582</v>
      </c>
      <c r="T54" s="149">
        <v>0</v>
      </c>
      <c r="U54" s="149">
        <f>25293829394/1000000</f>
        <v>25293.829394</v>
      </c>
      <c r="V54" s="149">
        <f>23206296072/1000000</f>
        <v>23206.296072000001</v>
      </c>
      <c r="W54" s="151">
        <f>SUM(R54:V54)</f>
        <v>109541.32386</v>
      </c>
      <c r="X54" s="12"/>
      <c r="Y54" s="12"/>
      <c r="Z54" s="201" t="s">
        <v>94</v>
      </c>
      <c r="AA54" s="202"/>
      <c r="AB54" s="155">
        <f>+H11</f>
        <v>30621.920999999998</v>
      </c>
      <c r="AC54" s="155">
        <f>+O11</f>
        <v>30392.323245</v>
      </c>
      <c r="AD54" s="155">
        <f>+V11</f>
        <v>30355.090202400002</v>
      </c>
      <c r="AE54" s="156">
        <f>+AC11</f>
        <v>30514.747783456001</v>
      </c>
      <c r="AF54" s="154">
        <f t="shared" si="1"/>
        <v>121884.082230856</v>
      </c>
      <c r="AG54" s="176"/>
      <c r="AH54" s="39"/>
    </row>
    <row r="55" spans="1:34" s="4" customFormat="1" ht="24" customHeight="1" x14ac:dyDescent="0.3">
      <c r="A55" s="142" t="s">
        <v>84</v>
      </c>
      <c r="B55" s="143">
        <f>SUM(B51:B54)</f>
        <v>726570.27281600004</v>
      </c>
      <c r="C55" s="143">
        <f t="shared" ref="C55:E55" si="2">SUM(C51:C54)</f>
        <v>748515.13556099997</v>
      </c>
      <c r="D55" s="143">
        <f t="shared" si="2"/>
        <v>694783.90360189998</v>
      </c>
      <c r="E55" s="144">
        <f t="shared" si="2"/>
        <v>647067.00306145614</v>
      </c>
      <c r="F55" s="146">
        <f t="shared" si="0"/>
        <v>2816936.315040356</v>
      </c>
      <c r="G55" s="12"/>
      <c r="H55" s="12"/>
      <c r="I55" s="12"/>
      <c r="J55" s="12"/>
      <c r="K55" s="12"/>
      <c r="L55" s="12"/>
      <c r="M55" s="12"/>
      <c r="N55" s="12"/>
      <c r="O55" s="12"/>
      <c r="P55" s="207" t="s">
        <v>72</v>
      </c>
      <c r="Q55" s="208"/>
      <c r="R55" s="151">
        <f>+R51+R52+R53+R54</f>
        <v>1207.0000919999993</v>
      </c>
      <c r="S55" s="151">
        <f>+S51+S52+S53+S54</f>
        <v>137962.57732099999</v>
      </c>
      <c r="T55" s="151">
        <f>+T51+T52+T53+T54</f>
        <v>41000</v>
      </c>
      <c r="U55" s="151">
        <f>+U51+U52+U53+U54</f>
        <v>75525.206898999997</v>
      </c>
      <c r="V55" s="151">
        <f>+V51+V52+V53+V54</f>
        <v>107442.815296</v>
      </c>
      <c r="W55" s="209">
        <f>SUM(W51:W54)</f>
        <v>363137.59960799996</v>
      </c>
      <c r="X55" s="12"/>
      <c r="Y55" s="12"/>
      <c r="Z55" s="201" t="s">
        <v>95</v>
      </c>
      <c r="AA55" s="202"/>
      <c r="AB55" s="155">
        <f>+I11</f>
        <v>60000</v>
      </c>
      <c r="AC55" s="155">
        <f>+P11</f>
        <v>0</v>
      </c>
      <c r="AD55" s="155">
        <f>+W11</f>
        <v>0</v>
      </c>
      <c r="AE55" s="156">
        <f>+AD11</f>
        <v>0</v>
      </c>
      <c r="AF55" s="154">
        <f t="shared" si="1"/>
        <v>60000</v>
      </c>
      <c r="AG55" s="176"/>
      <c r="AH55" s="39"/>
    </row>
    <row r="56" spans="1:34" s="4" customFormat="1" ht="24" customHeight="1" x14ac:dyDescent="0.3">
      <c r="A56" s="177" t="s">
        <v>96</v>
      </c>
      <c r="B56" s="177"/>
      <c r="C56" s="177"/>
      <c r="D56" s="177"/>
      <c r="E56" s="177"/>
      <c r="F56" s="177"/>
      <c r="G56" s="12"/>
      <c r="H56" s="12"/>
      <c r="I56" s="12"/>
      <c r="J56" s="12"/>
      <c r="K56" s="12"/>
      <c r="L56" s="12"/>
      <c r="M56" s="12"/>
      <c r="N56" s="12"/>
      <c r="O56" s="12"/>
      <c r="P56" s="211" t="s">
        <v>97</v>
      </c>
      <c r="Q56" s="212"/>
      <c r="R56" s="212"/>
      <c r="S56" s="212"/>
      <c r="T56" s="212"/>
      <c r="U56" s="212"/>
      <c r="V56" s="213"/>
      <c r="W56" s="210"/>
      <c r="X56" s="12"/>
      <c r="Y56" s="12"/>
      <c r="Z56" s="201" t="s">
        <v>98</v>
      </c>
      <c r="AA56" s="202"/>
      <c r="AB56" s="155">
        <f>+J25</f>
        <v>0</v>
      </c>
      <c r="AC56" s="155">
        <f>+Q25</f>
        <v>100000</v>
      </c>
      <c r="AD56" s="155">
        <f>+X25</f>
        <v>50000</v>
      </c>
      <c r="AE56" s="157">
        <f>+AE25</f>
        <v>0</v>
      </c>
      <c r="AF56" s="154">
        <f t="shared" si="1"/>
        <v>150000</v>
      </c>
      <c r="AG56" s="176"/>
      <c r="AH56" s="39"/>
    </row>
    <row r="57" spans="1:34" s="4" customFormat="1" ht="21.95" customHeight="1" x14ac:dyDescent="0.3">
      <c r="A57" s="11"/>
      <c r="B57" s="11"/>
      <c r="C57" s="11"/>
      <c r="D57" s="11"/>
      <c r="E57" s="12"/>
      <c r="F57" s="17"/>
      <c r="G57" s="12"/>
      <c r="H57" s="12"/>
      <c r="I57" s="12"/>
      <c r="J57" s="12"/>
      <c r="K57" s="12"/>
      <c r="L57" s="12"/>
      <c r="M57" s="12"/>
      <c r="N57" s="12"/>
      <c r="O57" s="12"/>
      <c r="P57" s="214" t="s">
        <v>99</v>
      </c>
      <c r="Q57" s="214"/>
      <c r="R57" s="214"/>
      <c r="S57" s="214"/>
      <c r="T57" s="214"/>
      <c r="U57" s="214"/>
      <c r="V57" s="214"/>
      <c r="W57" s="214"/>
      <c r="X57" s="12"/>
      <c r="Y57" s="12"/>
      <c r="Z57" s="201" t="s">
        <v>100</v>
      </c>
      <c r="AA57" s="202"/>
      <c r="AB57" s="155">
        <f>+K11</f>
        <v>18738.510999999999</v>
      </c>
      <c r="AC57" s="155">
        <f>+R11</f>
        <v>0</v>
      </c>
      <c r="AD57" s="155">
        <f>+Y11</f>
        <v>0</v>
      </c>
      <c r="AE57" s="157">
        <f>+AF11</f>
        <v>0</v>
      </c>
      <c r="AF57" s="154">
        <f t="shared" si="1"/>
        <v>18738.510999999999</v>
      </c>
      <c r="AG57" s="176"/>
      <c r="AH57" s="39"/>
    </row>
    <row r="58" spans="1:34" s="4" customFormat="1" ht="41.1" customHeight="1" x14ac:dyDescent="0.3">
      <c r="A58" s="11"/>
      <c r="B58" s="11"/>
      <c r="C58" s="11"/>
      <c r="D58" s="11"/>
      <c r="E58" s="12"/>
      <c r="F58" s="17"/>
      <c r="G58" s="12"/>
      <c r="H58" s="12"/>
      <c r="I58" s="12"/>
      <c r="J58" s="12"/>
      <c r="K58" s="12"/>
      <c r="L58" s="12"/>
      <c r="M58" s="12"/>
      <c r="N58" s="12"/>
      <c r="O58" s="12"/>
      <c r="P58" s="178" t="s">
        <v>101</v>
      </c>
      <c r="Q58" s="179"/>
      <c r="R58" s="179"/>
      <c r="S58" s="179"/>
      <c r="T58" s="179"/>
      <c r="U58" s="179"/>
      <c r="V58" s="179"/>
      <c r="W58" s="180"/>
      <c r="X58" s="12"/>
      <c r="Y58" s="12"/>
      <c r="Z58" s="174" t="s">
        <v>102</v>
      </c>
      <c r="AA58" s="175"/>
      <c r="AB58" s="155">
        <f>+W51</f>
        <v>84039.687539999999</v>
      </c>
      <c r="AC58" s="155">
        <f>+W52</f>
        <v>86878.384091999993</v>
      </c>
      <c r="AD58" s="155">
        <f>+W53</f>
        <v>82678.204115999994</v>
      </c>
      <c r="AE58" s="157">
        <f>+W54</f>
        <v>109541.32386</v>
      </c>
      <c r="AF58" s="154">
        <f t="shared" si="1"/>
        <v>363137.59960799996</v>
      </c>
      <c r="AG58" s="176"/>
      <c r="AH58" s="39"/>
    </row>
    <row r="59" spans="1:34" s="4" customFormat="1" ht="20.100000000000001" customHeight="1" x14ac:dyDescent="0.3">
      <c r="A59" s="11"/>
      <c r="B59" s="11"/>
      <c r="C59" s="11"/>
      <c r="D59" s="11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72" t="s">
        <v>103</v>
      </c>
      <c r="AA59" s="173"/>
      <c r="AB59" s="158">
        <f>SUM(AB51:AB58)</f>
        <v>810609.960356</v>
      </c>
      <c r="AC59" s="158">
        <f>SUM(AC51:AC58)</f>
        <v>835393.51965299994</v>
      </c>
      <c r="AD59" s="158">
        <f>SUM(AD51:AD58)</f>
        <v>777462.10771789995</v>
      </c>
      <c r="AE59" s="158">
        <f>SUM(AE51:AE58)</f>
        <v>756608.32692145591</v>
      </c>
      <c r="AF59" s="158">
        <f>SUM(AF51:AF58)</f>
        <v>3180073.9146483559</v>
      </c>
      <c r="AG59" s="176"/>
      <c r="AH59" s="39"/>
    </row>
    <row r="60" spans="1:34" s="11" customFormat="1" x14ac:dyDescent="0.25">
      <c r="AH60" s="19"/>
    </row>
    <row r="61" spans="1:34" s="11" customFormat="1" x14ac:dyDescent="0.25">
      <c r="AD61" s="163"/>
      <c r="AH61" s="19"/>
    </row>
    <row r="62" spans="1:34" s="11" customFormat="1" x14ac:dyDescent="0.25">
      <c r="AB62" s="168"/>
    </row>
    <row r="63" spans="1:34" s="11" customFormat="1" x14ac:dyDescent="0.25"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</row>
    <row r="64" spans="1:34" s="11" customFormat="1" x14ac:dyDescent="0.25"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</row>
    <row r="65" spans="5:32" s="11" customFormat="1" x14ac:dyDescent="0.25"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</row>
    <row r="66" spans="5:32" s="11" customFormat="1" x14ac:dyDescent="0.25"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</row>
    <row r="67" spans="5:32" s="11" customFormat="1" x14ac:dyDescent="0.25"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</row>
    <row r="68" spans="5:32" s="11" customFormat="1" x14ac:dyDescent="0.25"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</row>
    <row r="69" spans="5:32" s="11" customFormat="1" x14ac:dyDescent="0.25"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</row>
    <row r="70" spans="5:32" s="11" customFormat="1" x14ac:dyDescent="0.25"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</row>
    <row r="71" spans="5:32" s="11" customFormat="1" x14ac:dyDescent="0.25"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</row>
    <row r="72" spans="5:32" s="11" customFormat="1" x14ac:dyDescent="0.25"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</row>
    <row r="73" spans="5:32" s="11" customFormat="1" x14ac:dyDescent="0.25"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</row>
    <row r="74" spans="5:32" s="11" customFormat="1" x14ac:dyDescent="0.25"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</row>
    <row r="75" spans="5:32" s="11" customFormat="1" x14ac:dyDescent="0.25"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</row>
    <row r="76" spans="5:32" s="11" customFormat="1" x14ac:dyDescent="0.25"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</row>
    <row r="77" spans="5:32" s="11" customFormat="1" x14ac:dyDescent="0.25"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</row>
    <row r="78" spans="5:32" s="11" customFormat="1" x14ac:dyDescent="0.25"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</row>
    <row r="79" spans="5:32" s="11" customFormat="1" x14ac:dyDescent="0.25"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</row>
    <row r="80" spans="5:32" s="11" customFormat="1" x14ac:dyDescent="0.25"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</row>
    <row r="81" spans="5:32" s="11" customFormat="1" x14ac:dyDescent="0.25"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</row>
    <row r="82" spans="5:32" s="11" customFormat="1" x14ac:dyDescent="0.25"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</row>
    <row r="83" spans="5:32" s="11" customFormat="1" x14ac:dyDescent="0.25"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</row>
    <row r="84" spans="5:32" s="11" customFormat="1" x14ac:dyDescent="0.25"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</row>
    <row r="85" spans="5:32" s="11" customFormat="1" x14ac:dyDescent="0.25"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</row>
    <row r="86" spans="5:32" s="11" customFormat="1" x14ac:dyDescent="0.25"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</row>
    <row r="87" spans="5:32" s="11" customFormat="1" x14ac:dyDescent="0.25"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</row>
    <row r="88" spans="5:32" s="11" customFormat="1" x14ac:dyDescent="0.25"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</row>
    <row r="89" spans="5:32" s="11" customFormat="1" x14ac:dyDescent="0.25"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</row>
    <row r="90" spans="5:32" s="11" customFormat="1" x14ac:dyDescent="0.25"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</row>
    <row r="91" spans="5:32" s="11" customFormat="1" x14ac:dyDescent="0.25"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</row>
    <row r="92" spans="5:32" s="11" customFormat="1" x14ac:dyDescent="0.25"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</row>
    <row r="93" spans="5:32" s="11" customFormat="1" x14ac:dyDescent="0.25"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</row>
    <row r="94" spans="5:32" s="11" customFormat="1" x14ac:dyDescent="0.25"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</row>
    <row r="95" spans="5:32" s="11" customFormat="1" x14ac:dyDescent="0.25"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</row>
    <row r="96" spans="5:32" s="11" customFormat="1" x14ac:dyDescent="0.25"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</row>
    <row r="97" spans="5:32" s="11" customFormat="1" x14ac:dyDescent="0.25"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</row>
    <row r="98" spans="5:32" s="11" customFormat="1" x14ac:dyDescent="0.25"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</row>
    <row r="99" spans="5:32" s="11" customFormat="1" x14ac:dyDescent="0.25"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</row>
    <row r="100" spans="5:32" s="11" customFormat="1" x14ac:dyDescent="0.25"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</row>
    <row r="101" spans="5:32" s="11" customFormat="1" x14ac:dyDescent="0.25"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</row>
    <row r="102" spans="5:32" s="11" customFormat="1" x14ac:dyDescent="0.25"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</row>
    <row r="103" spans="5:32" s="11" customFormat="1" x14ac:dyDescent="0.25"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</row>
    <row r="104" spans="5:32" s="11" customFormat="1" x14ac:dyDescent="0.25"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</row>
    <row r="105" spans="5:32" s="11" customFormat="1" x14ac:dyDescent="0.25"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</row>
    <row r="106" spans="5:32" s="11" customFormat="1" x14ac:dyDescent="0.25"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</row>
    <row r="107" spans="5:32" s="11" customFormat="1" x14ac:dyDescent="0.25"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</row>
    <row r="108" spans="5:32" s="11" customFormat="1" x14ac:dyDescent="0.25"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</row>
    <row r="109" spans="5:32" s="11" customFormat="1" x14ac:dyDescent="0.25"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</row>
    <row r="110" spans="5:32" s="11" customFormat="1" x14ac:dyDescent="0.25"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</row>
    <row r="111" spans="5:32" s="11" customFormat="1" x14ac:dyDescent="0.25"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</row>
    <row r="112" spans="5:32" s="11" customFormat="1" x14ac:dyDescent="0.25"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</row>
    <row r="113" spans="5:32" s="11" customFormat="1" x14ac:dyDescent="0.25"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</row>
    <row r="114" spans="5:32" s="11" customFormat="1" x14ac:dyDescent="0.25"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</row>
    <row r="115" spans="5:32" s="11" customFormat="1" x14ac:dyDescent="0.25"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</row>
    <row r="116" spans="5:32" s="11" customFormat="1" x14ac:dyDescent="0.25"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</row>
    <row r="117" spans="5:32" s="11" customFormat="1" x14ac:dyDescent="0.25"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</row>
    <row r="118" spans="5:32" s="11" customFormat="1" x14ac:dyDescent="0.25"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</row>
    <row r="119" spans="5:32" s="11" customFormat="1" x14ac:dyDescent="0.25"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</row>
    <row r="120" spans="5:32" s="11" customFormat="1" x14ac:dyDescent="0.25"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</row>
    <row r="121" spans="5:32" s="11" customFormat="1" x14ac:dyDescent="0.25"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</row>
    <row r="122" spans="5:32" s="11" customFormat="1" x14ac:dyDescent="0.25"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</row>
    <row r="123" spans="5:32" s="11" customFormat="1" x14ac:dyDescent="0.25"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</row>
    <row r="124" spans="5:32" s="11" customFormat="1" x14ac:dyDescent="0.25"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</row>
    <row r="125" spans="5:32" s="11" customFormat="1" x14ac:dyDescent="0.25"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</row>
    <row r="126" spans="5:32" s="11" customFormat="1" x14ac:dyDescent="0.25"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</row>
    <row r="127" spans="5:32" s="11" customFormat="1" x14ac:dyDescent="0.25"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</row>
    <row r="128" spans="5:32" s="11" customFormat="1" x14ac:dyDescent="0.25"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</row>
    <row r="129" spans="5:32" s="11" customFormat="1" x14ac:dyDescent="0.25"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</row>
    <row r="130" spans="5:32" s="11" customFormat="1" x14ac:dyDescent="0.25"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</row>
    <row r="131" spans="5:32" s="11" customFormat="1" x14ac:dyDescent="0.25"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</row>
    <row r="132" spans="5:32" s="11" customFormat="1" x14ac:dyDescent="0.25"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</row>
    <row r="133" spans="5:32" s="11" customFormat="1" x14ac:dyDescent="0.25"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</row>
    <row r="134" spans="5:32" s="11" customFormat="1" x14ac:dyDescent="0.25"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</row>
    <row r="135" spans="5:32" s="11" customFormat="1" x14ac:dyDescent="0.25"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</row>
    <row r="136" spans="5:32" s="11" customFormat="1" x14ac:dyDescent="0.25"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</row>
    <row r="137" spans="5:32" s="11" customFormat="1" x14ac:dyDescent="0.25"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</row>
    <row r="138" spans="5:32" s="11" customFormat="1" x14ac:dyDescent="0.25"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</row>
    <row r="139" spans="5:32" s="11" customFormat="1" x14ac:dyDescent="0.25"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</row>
    <row r="140" spans="5:32" s="11" customFormat="1" x14ac:dyDescent="0.25"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</row>
    <row r="141" spans="5:32" s="11" customFormat="1" x14ac:dyDescent="0.25"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</row>
    <row r="142" spans="5:32" s="11" customFormat="1" x14ac:dyDescent="0.25"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</row>
    <row r="143" spans="5:32" s="11" customFormat="1" x14ac:dyDescent="0.25"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</row>
    <row r="144" spans="5:32" s="11" customFormat="1" x14ac:dyDescent="0.25"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</row>
    <row r="145" spans="5:32" s="11" customFormat="1" x14ac:dyDescent="0.25"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</row>
    <row r="146" spans="5:32" s="11" customFormat="1" x14ac:dyDescent="0.25"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</row>
    <row r="147" spans="5:32" s="11" customFormat="1" x14ac:dyDescent="0.25"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</row>
    <row r="148" spans="5:32" s="11" customFormat="1" x14ac:dyDescent="0.25"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</row>
    <row r="149" spans="5:32" s="11" customFormat="1" x14ac:dyDescent="0.25"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</row>
    <row r="150" spans="5:32" s="11" customFormat="1" x14ac:dyDescent="0.25"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</row>
    <row r="151" spans="5:32" s="11" customFormat="1" x14ac:dyDescent="0.25"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</row>
    <row r="152" spans="5:32" s="11" customFormat="1" x14ac:dyDescent="0.25"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</row>
    <row r="153" spans="5:32" s="11" customFormat="1" x14ac:dyDescent="0.25"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</row>
    <row r="154" spans="5:32" s="11" customFormat="1" x14ac:dyDescent="0.25"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</row>
    <row r="155" spans="5:32" s="11" customFormat="1" x14ac:dyDescent="0.25"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</row>
    <row r="156" spans="5:32" s="11" customFormat="1" x14ac:dyDescent="0.25"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</row>
    <row r="157" spans="5:32" s="11" customFormat="1" x14ac:dyDescent="0.25"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</row>
    <row r="158" spans="5:32" s="11" customFormat="1" x14ac:dyDescent="0.25"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</row>
    <row r="159" spans="5:32" s="11" customFormat="1" x14ac:dyDescent="0.25"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</row>
    <row r="160" spans="5:32" s="11" customFormat="1" x14ac:dyDescent="0.25"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</row>
    <row r="161" spans="5:32" s="11" customFormat="1" x14ac:dyDescent="0.25"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</row>
    <row r="162" spans="5:32" s="11" customFormat="1" x14ac:dyDescent="0.25"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</row>
    <row r="163" spans="5:32" s="11" customFormat="1" x14ac:dyDescent="0.25"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</row>
    <row r="164" spans="5:32" s="11" customFormat="1" x14ac:dyDescent="0.25"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</row>
    <row r="165" spans="5:32" s="11" customFormat="1" x14ac:dyDescent="0.25"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</row>
    <row r="166" spans="5:32" s="11" customFormat="1" x14ac:dyDescent="0.25"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</row>
    <row r="167" spans="5:32" s="11" customFormat="1" x14ac:dyDescent="0.25"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</row>
    <row r="168" spans="5:32" s="11" customFormat="1" x14ac:dyDescent="0.25"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</row>
    <row r="169" spans="5:32" s="11" customFormat="1" x14ac:dyDescent="0.25"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</row>
    <row r="170" spans="5:32" s="11" customFormat="1" x14ac:dyDescent="0.25"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</row>
    <row r="171" spans="5:32" s="11" customFormat="1" x14ac:dyDescent="0.25"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</row>
    <row r="172" spans="5:32" s="11" customFormat="1" x14ac:dyDescent="0.25"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</row>
    <row r="173" spans="5:32" s="11" customFormat="1" x14ac:dyDescent="0.25"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</row>
    <row r="174" spans="5:32" s="11" customFormat="1" x14ac:dyDescent="0.25"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</row>
    <row r="175" spans="5:32" s="11" customFormat="1" x14ac:dyDescent="0.25"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</row>
    <row r="176" spans="5:32" s="11" customFormat="1" x14ac:dyDescent="0.25"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</row>
    <row r="177" spans="5:32" s="11" customFormat="1" x14ac:dyDescent="0.25"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</row>
    <row r="178" spans="5:32" s="11" customFormat="1" x14ac:dyDescent="0.25"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</row>
    <row r="179" spans="5:32" s="11" customFormat="1" x14ac:dyDescent="0.25"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</row>
    <row r="180" spans="5:32" s="11" customFormat="1" x14ac:dyDescent="0.25"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</row>
    <row r="181" spans="5:32" s="11" customFormat="1" x14ac:dyDescent="0.25"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</row>
    <row r="182" spans="5:32" s="11" customFormat="1" x14ac:dyDescent="0.25"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</row>
    <row r="183" spans="5:32" s="11" customFormat="1" x14ac:dyDescent="0.25"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</row>
    <row r="184" spans="5:32" s="11" customFormat="1" x14ac:dyDescent="0.25"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</row>
    <row r="185" spans="5:32" s="11" customFormat="1" x14ac:dyDescent="0.25"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</row>
    <row r="186" spans="5:32" s="11" customFormat="1" x14ac:dyDescent="0.25"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</row>
    <row r="187" spans="5:32" s="11" customFormat="1" x14ac:dyDescent="0.25"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</row>
    <row r="188" spans="5:32" s="11" customFormat="1" x14ac:dyDescent="0.25"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</row>
    <row r="189" spans="5:32" s="11" customFormat="1" x14ac:dyDescent="0.25"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</row>
    <row r="190" spans="5:32" s="11" customFormat="1" x14ac:dyDescent="0.25"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</row>
    <row r="191" spans="5:32" s="11" customFormat="1" x14ac:dyDescent="0.25"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</row>
    <row r="192" spans="5:32" s="11" customFormat="1" x14ac:dyDescent="0.25"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</row>
    <row r="193" spans="1:33" s="11" customFormat="1" x14ac:dyDescent="0.25"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</row>
    <row r="194" spans="1:33" s="11" customFormat="1" x14ac:dyDescent="0.25">
      <c r="A194" s="2"/>
      <c r="B194" s="2"/>
      <c r="C194" s="2"/>
      <c r="D194" s="2"/>
      <c r="E194" s="3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</row>
    <row r="195" spans="1:33" s="11" customFormat="1" x14ac:dyDescent="0.25">
      <c r="A195" s="2"/>
      <c r="B195" s="2"/>
      <c r="C195" s="2"/>
      <c r="D195" s="2"/>
      <c r="E195" s="3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2"/>
    </row>
    <row r="196" spans="1:33" s="11" customFormat="1" x14ac:dyDescent="0.25">
      <c r="A196" s="2"/>
      <c r="B196" s="2"/>
      <c r="C196" s="2"/>
      <c r="D196" s="2"/>
      <c r="E196" s="3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3"/>
      <c r="AG196" s="2"/>
    </row>
    <row r="197" spans="1:33" s="11" customFormat="1" x14ac:dyDescent="0.25">
      <c r="A197" s="2"/>
      <c r="B197" s="2"/>
      <c r="C197" s="2"/>
      <c r="D197" s="2"/>
      <c r="E197" s="3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3"/>
      <c r="AG197" s="2"/>
    </row>
    <row r="198" spans="1:33" s="11" customFormat="1" x14ac:dyDescent="0.25">
      <c r="A198" s="2"/>
      <c r="B198" s="2"/>
      <c r="C198" s="2"/>
      <c r="D198" s="2"/>
      <c r="E198" s="3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3"/>
      <c r="AG198" s="2"/>
    </row>
    <row r="199" spans="1:33" s="11" customFormat="1" x14ac:dyDescent="0.25">
      <c r="A199" s="2"/>
      <c r="B199" s="2"/>
      <c r="C199" s="2"/>
      <c r="D199" s="2"/>
      <c r="E199" s="3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3"/>
      <c r="AG199" s="2"/>
    </row>
    <row r="200" spans="1:33" s="11" customFormat="1" x14ac:dyDescent="0.25">
      <c r="A200" s="2"/>
      <c r="B200" s="2"/>
      <c r="C200" s="2"/>
      <c r="D200" s="2"/>
      <c r="E200" s="3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3"/>
      <c r="AG200" s="2"/>
    </row>
    <row r="201" spans="1:33" s="11" customFormat="1" x14ac:dyDescent="0.25">
      <c r="A201" s="2"/>
      <c r="B201" s="2"/>
      <c r="C201" s="2"/>
      <c r="D201" s="2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12"/>
      <c r="AA201" s="12"/>
      <c r="AB201" s="12"/>
      <c r="AC201" s="12"/>
      <c r="AD201" s="12"/>
      <c r="AE201" s="12"/>
      <c r="AF201" s="3"/>
      <c r="AG201" s="2"/>
    </row>
    <row r="202" spans="1:33" s="11" customFormat="1" x14ac:dyDescent="0.25">
      <c r="A202" s="2"/>
      <c r="B202" s="2"/>
      <c r="C202" s="2"/>
      <c r="D202" s="2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2"/>
    </row>
    <row r="203" spans="1:33" s="11" customFormat="1" x14ac:dyDescent="0.25">
      <c r="A203" s="2"/>
      <c r="B203" s="2"/>
      <c r="C203" s="2"/>
      <c r="D203" s="2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2"/>
    </row>
    <row r="204" spans="1:33" s="11" customFormat="1" x14ac:dyDescent="0.25">
      <c r="A204" s="2"/>
      <c r="B204" s="2"/>
      <c r="C204" s="2"/>
      <c r="D204" s="2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2"/>
    </row>
  </sheetData>
  <sheetProtection algorithmName="SHA-512" hashValue="+PJZAah9qmGk3ACLpg+wyy4/+528417da5gHufD0npK0QGObwyeV6kACKgDBq+QUy+cQTu8UZ4pauTbziZe6Rg==" saltValue="dVXtw7pWBDuQkPmHv2XN+w==" spinCount="100000" sheet="1" objects="1" scenarios="1" selectLockedCells="1" selectUnlockedCells="1"/>
  <mergeCells count="94">
    <mergeCell ref="S8:Y8"/>
    <mergeCell ref="Z8:AF8"/>
    <mergeCell ref="S9:Y9"/>
    <mergeCell ref="E41:K41"/>
    <mergeCell ref="L42:R42"/>
    <mergeCell ref="S42:Y42"/>
    <mergeCell ref="Z42:AF42"/>
    <mergeCell ref="L21:R21"/>
    <mergeCell ref="S21:Y21"/>
    <mergeCell ref="Z21:AF21"/>
    <mergeCell ref="S32:Y32"/>
    <mergeCell ref="Z32:AF32"/>
    <mergeCell ref="A42:A43"/>
    <mergeCell ref="B42:B43"/>
    <mergeCell ref="C42:C43"/>
    <mergeCell ref="D42:D43"/>
    <mergeCell ref="E42:K42"/>
    <mergeCell ref="B5:D6"/>
    <mergeCell ref="A5:A6"/>
    <mergeCell ref="E8:K8"/>
    <mergeCell ref="H3:N4"/>
    <mergeCell ref="E9:K9"/>
    <mergeCell ref="B7:D7"/>
    <mergeCell ref="L8:R8"/>
    <mergeCell ref="AG41:AG43"/>
    <mergeCell ref="AG31:AG33"/>
    <mergeCell ref="L32:R32"/>
    <mergeCell ref="A49:E49"/>
    <mergeCell ref="L20:R20"/>
    <mergeCell ref="S20:Y20"/>
    <mergeCell ref="Z20:AF20"/>
    <mergeCell ref="L41:R41"/>
    <mergeCell ref="S41:Y41"/>
    <mergeCell ref="Z41:AF41"/>
    <mergeCell ref="L31:R31"/>
    <mergeCell ref="S31:Y31"/>
    <mergeCell ref="Z31:AF31"/>
    <mergeCell ref="E20:K20"/>
    <mergeCell ref="A21:A22"/>
    <mergeCell ref="B21:B22"/>
    <mergeCell ref="F1:Q1"/>
    <mergeCell ref="E2:Q2"/>
    <mergeCell ref="A4:D4"/>
    <mergeCell ref="AG8:AG10"/>
    <mergeCell ref="AG20:AG22"/>
    <mergeCell ref="A9:A10"/>
    <mergeCell ref="D9:D10"/>
    <mergeCell ref="C9:C10"/>
    <mergeCell ref="B9:B10"/>
    <mergeCell ref="L9:R9"/>
    <mergeCell ref="C21:C22"/>
    <mergeCell ref="D21:D22"/>
    <mergeCell ref="E21:K21"/>
    <mergeCell ref="A17:A18"/>
    <mergeCell ref="B17:D18"/>
    <mergeCell ref="Z9:AF9"/>
    <mergeCell ref="A47:AG48"/>
    <mergeCell ref="AF49:AF50"/>
    <mergeCell ref="Z57:AA57"/>
    <mergeCell ref="F49:F50"/>
    <mergeCell ref="S49:T49"/>
    <mergeCell ref="P55:Q55"/>
    <mergeCell ref="W55:W56"/>
    <mergeCell ref="P56:V56"/>
    <mergeCell ref="P57:W57"/>
    <mergeCell ref="Z56:AA56"/>
    <mergeCell ref="Z51:AA51"/>
    <mergeCell ref="Z52:AA52"/>
    <mergeCell ref="Z53:AA53"/>
    <mergeCell ref="Z54:AA54"/>
    <mergeCell ref="Z55:AA55"/>
    <mergeCell ref="B19:D19"/>
    <mergeCell ref="B40:D40"/>
    <mergeCell ref="B30:D30"/>
    <mergeCell ref="A16:AG16"/>
    <mergeCell ref="A27:AG27"/>
    <mergeCell ref="A32:A33"/>
    <mergeCell ref="B32:B33"/>
    <mergeCell ref="C32:C33"/>
    <mergeCell ref="D32:D33"/>
    <mergeCell ref="E32:K32"/>
    <mergeCell ref="A38:A39"/>
    <mergeCell ref="B38:D39"/>
    <mergeCell ref="A28:A29"/>
    <mergeCell ref="B28:D29"/>
    <mergeCell ref="E31:K31"/>
    <mergeCell ref="Z59:AA59"/>
    <mergeCell ref="Z58:AA58"/>
    <mergeCell ref="AG49:AG59"/>
    <mergeCell ref="A56:F56"/>
    <mergeCell ref="P58:W58"/>
    <mergeCell ref="P49:R49"/>
    <mergeCell ref="Z50:AA50"/>
    <mergeCell ref="Z49:AE49"/>
  </mergeCells>
  <phoneticPr fontId="1" type="noConversion"/>
  <pageMargins left="0.7" right="0.7" top="0.75" bottom="0.75" header="0.3" footer="0.3"/>
  <pageSetup paperSize="0" orientation="portrait" horizontalDpi="0" verticalDpi="0" copie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K28"/>
  <sheetViews>
    <sheetView topLeftCell="A2" workbookViewId="0">
      <selection activeCell="A2" sqref="A2:L2"/>
    </sheetView>
  </sheetViews>
  <sheetFormatPr baseColWidth="10" defaultColWidth="11.42578125" defaultRowHeight="12.75" x14ac:dyDescent="0.2"/>
  <cols>
    <col min="1" max="1" width="24.42578125" style="40" customWidth="1"/>
    <col min="2" max="2" width="3" style="40" hidden="1" customWidth="1"/>
    <col min="3" max="3" width="10.140625" style="40" customWidth="1"/>
    <col min="4" max="4" width="7.140625" style="40" customWidth="1"/>
    <col min="5" max="5" width="10.7109375" style="40" customWidth="1"/>
    <col min="6" max="6" width="6.85546875" style="40" customWidth="1"/>
    <col min="7" max="7" width="11" style="40" customWidth="1"/>
    <col min="8" max="8" width="9" style="40" customWidth="1"/>
    <col min="9" max="9" width="11.42578125" style="40"/>
    <col min="10" max="10" width="9.28515625" style="40" customWidth="1"/>
    <col min="11" max="11" width="13" style="40" customWidth="1"/>
    <col min="12" max="12" width="8.85546875" style="40" customWidth="1"/>
    <col min="13" max="13" width="0.42578125" style="40" hidden="1" customWidth="1"/>
    <col min="14" max="15" width="11.42578125" style="40" hidden="1" customWidth="1"/>
    <col min="16" max="16384" width="11.42578125" style="40"/>
  </cols>
  <sheetData>
    <row r="1" spans="1:37" ht="16.5" x14ac:dyDescent="0.3">
      <c r="A1" s="240" t="s">
        <v>104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</row>
    <row r="2" spans="1:37" ht="16.5" x14ac:dyDescent="0.3">
      <c r="A2" s="241" t="s">
        <v>105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41"/>
      <c r="N2" s="41"/>
      <c r="O2" s="41"/>
      <c r="P2" s="42"/>
    </row>
    <row r="3" spans="1:37" ht="16.5" x14ac:dyDescent="0.3">
      <c r="A3" s="242" t="s">
        <v>106</v>
      </c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43"/>
      <c r="N3" s="43"/>
      <c r="O3" s="43"/>
      <c r="P3" s="44"/>
    </row>
    <row r="4" spans="1:37" ht="16.5" x14ac:dyDescent="0.3">
      <c r="A4" s="238" t="s">
        <v>107</v>
      </c>
      <c r="B4" s="45" t="s">
        <v>108</v>
      </c>
      <c r="C4" s="231">
        <v>2020</v>
      </c>
      <c r="D4" s="231" t="s">
        <v>109</v>
      </c>
      <c r="E4" s="231">
        <v>2021</v>
      </c>
      <c r="F4" s="231" t="s">
        <v>109</v>
      </c>
      <c r="G4" s="231">
        <v>2022</v>
      </c>
      <c r="H4" s="231" t="s">
        <v>109</v>
      </c>
      <c r="I4" s="231">
        <v>2023</v>
      </c>
      <c r="J4" s="231" t="s">
        <v>109</v>
      </c>
      <c r="K4" s="231" t="s">
        <v>84</v>
      </c>
      <c r="L4" s="233" t="s">
        <v>109</v>
      </c>
      <c r="M4" s="46"/>
      <c r="N4" s="41"/>
      <c r="O4" s="41"/>
      <c r="P4" s="46"/>
      <c r="Q4" s="46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</row>
    <row r="5" spans="1:37" ht="16.5" x14ac:dyDescent="0.3">
      <c r="A5" s="239"/>
      <c r="B5" s="47"/>
      <c r="C5" s="232"/>
      <c r="D5" s="232"/>
      <c r="E5" s="232"/>
      <c r="F5" s="232"/>
      <c r="G5" s="232"/>
      <c r="H5" s="232"/>
      <c r="I5" s="232"/>
      <c r="J5" s="232"/>
      <c r="K5" s="232"/>
      <c r="L5" s="234"/>
      <c r="M5" s="42"/>
      <c r="N5" s="43"/>
      <c r="O5" s="43"/>
      <c r="P5" s="46"/>
      <c r="Q5" s="46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</row>
    <row r="6" spans="1:37" ht="16.5" x14ac:dyDescent="0.3">
      <c r="A6" s="48" t="s">
        <v>110</v>
      </c>
      <c r="B6" s="49" t="e">
        <f>#REF!*100/#REF!-100</f>
        <v>#REF!</v>
      </c>
      <c r="C6" s="50">
        <f>+C7+C8</f>
        <v>125488.988816</v>
      </c>
      <c r="D6" s="51">
        <f>+C6/C15</f>
        <v>0.1548081012487045</v>
      </c>
      <c r="E6" s="50">
        <f>+E7+E8</f>
        <v>125812.880171</v>
      </c>
      <c r="F6" s="51">
        <f>+E6/E15</f>
        <v>0.15060313159151545</v>
      </c>
      <c r="G6" s="50">
        <f>+G7+G8</f>
        <v>117195.781934</v>
      </c>
      <c r="H6" s="51">
        <f>+G6/G15</f>
        <v>0.15074147121845863</v>
      </c>
      <c r="I6" s="50">
        <f>+I7+I8</f>
        <v>111860.72833899999</v>
      </c>
      <c r="J6" s="51">
        <f>+I6/I15</f>
        <v>0.14784496067357231</v>
      </c>
      <c r="K6" s="50">
        <f t="shared" ref="K6:K14" si="0">+C6+E6+G6+I6</f>
        <v>480358.37925999996</v>
      </c>
      <c r="L6" s="52">
        <f>+K6/K15</f>
        <v>0.15105258310108075</v>
      </c>
      <c r="M6" s="53"/>
      <c r="N6" s="54"/>
      <c r="O6" s="54"/>
      <c r="P6" s="46"/>
      <c r="Q6" s="46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</row>
    <row r="7" spans="1:37" ht="33" x14ac:dyDescent="0.3">
      <c r="A7" s="55" t="s">
        <v>111</v>
      </c>
      <c r="B7" s="56"/>
      <c r="C7" s="57">
        <f>+'Estructura Básica PPI'!AB51</f>
        <v>82125.04987599999</v>
      </c>
      <c r="D7" s="58">
        <f>+C7/C15</f>
        <v>0.10131265823569782</v>
      </c>
      <c r="E7" s="57">
        <f>+'Estructura Básica PPI'!AC51</f>
        <v>78237.111541999999</v>
      </c>
      <c r="F7" s="58">
        <f>+E7/E15</f>
        <v>9.3653002688478593E-2</v>
      </c>
      <c r="G7" s="57">
        <f>+'Estructura Básica PPI'!AD51</f>
        <v>66036.641628999991</v>
      </c>
      <c r="H7" s="58">
        <f>+G7/G15</f>
        <v>8.493872688257266E-2</v>
      </c>
      <c r="I7" s="57">
        <f>+'Estructura Básica PPI'!AE51</f>
        <v>60002.255344999998</v>
      </c>
      <c r="J7" s="58">
        <f>+I7/I15</f>
        <v>7.9304249252901596E-2</v>
      </c>
      <c r="K7" s="57">
        <f t="shared" si="0"/>
        <v>286401.05839199998</v>
      </c>
      <c r="L7" s="59">
        <f>+K7/K15</f>
        <v>9.0061132564483004E-2</v>
      </c>
      <c r="M7" s="44"/>
      <c r="N7" s="60"/>
      <c r="O7" s="60"/>
      <c r="P7" s="46"/>
      <c r="Q7" s="46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</row>
    <row r="8" spans="1:37" ht="33" x14ac:dyDescent="0.3">
      <c r="A8" s="55" t="s">
        <v>112</v>
      </c>
      <c r="B8" s="56"/>
      <c r="C8" s="57">
        <f>+'Estructura Básica PPI'!AB52</f>
        <v>43363.93894</v>
      </c>
      <c r="D8" s="58">
        <f>+C8/C15</f>
        <v>5.3495443013006676E-2</v>
      </c>
      <c r="E8" s="57">
        <f>+'Estructura Básica PPI'!AC52</f>
        <v>47575.768628999998</v>
      </c>
      <c r="F8" s="58">
        <f>+E8/E15</f>
        <v>5.6950128903036856E-2</v>
      </c>
      <c r="G8" s="57">
        <f>+'Estructura Básica PPI'!AD52</f>
        <v>51159.140305000008</v>
      </c>
      <c r="H8" s="58">
        <f>+G8/G15</f>
        <v>6.5802744335885968E-2</v>
      </c>
      <c r="I8" s="57">
        <f>+'Estructura Básica PPI'!AE52</f>
        <v>51858.472994000003</v>
      </c>
      <c r="J8" s="58">
        <f>+I8/I15</f>
        <v>6.8540711420670725E-2</v>
      </c>
      <c r="K8" s="57">
        <f t="shared" si="0"/>
        <v>193957.32086800001</v>
      </c>
      <c r="L8" s="59">
        <f>+K8/K15</f>
        <v>6.0991450536597762E-2</v>
      </c>
      <c r="P8" s="42"/>
      <c r="X8" s="61"/>
    </row>
    <row r="9" spans="1:37" ht="33" x14ac:dyDescent="0.3">
      <c r="A9" s="62" t="s">
        <v>113</v>
      </c>
      <c r="B9" s="56" t="e">
        <f>#REF!*100/#REF!-100</f>
        <v>#REF!</v>
      </c>
      <c r="C9" s="63">
        <f>+'Estructura Básica PPI'!AB53</f>
        <v>491720.85200000001</v>
      </c>
      <c r="D9" s="58">
        <f>+C9/C15</f>
        <v>0.60660598320806258</v>
      </c>
      <c r="E9" s="63">
        <f>+'Estructura Básica PPI'!AC53</f>
        <v>492309.93214500003</v>
      </c>
      <c r="F9" s="58">
        <f>+E9/E15</f>
        <v>0.58931500013250326</v>
      </c>
      <c r="G9" s="63">
        <f>+'Estructura Básica PPI'!AD53</f>
        <v>497233.03146550001</v>
      </c>
      <c r="H9" s="58">
        <f>+G9/G15</f>
        <v>0.63955918433766257</v>
      </c>
      <c r="I9" s="63">
        <f>+'Estructura Básica PPI'!AE53</f>
        <v>504691.52693899994</v>
      </c>
      <c r="J9" s="58">
        <f>+I9/I15</f>
        <v>0.66704463720684426</v>
      </c>
      <c r="K9" s="63">
        <f t="shared" si="0"/>
        <v>1985955.3425495001</v>
      </c>
      <c r="L9" s="59">
        <f>+K9/K15</f>
        <v>0.62449974304106759</v>
      </c>
      <c r="P9" s="44"/>
    </row>
    <row r="10" spans="1:37" ht="16.5" x14ac:dyDescent="0.3">
      <c r="A10" s="64" t="s">
        <v>114</v>
      </c>
      <c r="B10" s="56"/>
      <c r="C10" s="63">
        <f>+'Estructura Básica PPI'!AB54</f>
        <v>30621.920999999998</v>
      </c>
      <c r="D10" s="58">
        <f>+C10/C15</f>
        <v>3.777639370055557E-2</v>
      </c>
      <c r="E10" s="63">
        <f>+'Estructura Básica PPI'!AC54</f>
        <v>30392.323245</v>
      </c>
      <c r="F10" s="58">
        <f>+E10/E15</f>
        <v>3.6380846307766612E-2</v>
      </c>
      <c r="G10" s="63">
        <f>+'Estructura Básica PPI'!AD54</f>
        <v>30355.090202400002</v>
      </c>
      <c r="H10" s="58">
        <f>+G10/G15</f>
        <v>3.9043819500736703E-2</v>
      </c>
      <c r="I10" s="63">
        <f>+'Estructura Básica PPI'!AE54</f>
        <v>30514.747783456001</v>
      </c>
      <c r="J10" s="58">
        <f>+I10/I15</f>
        <v>4.0330970064282365E-2</v>
      </c>
      <c r="K10" s="63">
        <f t="shared" si="0"/>
        <v>121884.082230856</v>
      </c>
      <c r="L10" s="59">
        <f>+K10/K15</f>
        <v>3.8327436877936098E-2</v>
      </c>
      <c r="P10" s="44"/>
    </row>
    <row r="11" spans="1:37" ht="16.5" x14ac:dyDescent="0.3">
      <c r="A11" s="64" t="s">
        <v>115</v>
      </c>
      <c r="B11" s="56"/>
      <c r="C11" s="63">
        <f>+'Estructura Básica PPI'!AB55</f>
        <v>60000</v>
      </c>
      <c r="D11" s="58">
        <f>+C11/C15</f>
        <v>7.4018335493496124E-2</v>
      </c>
      <c r="E11" s="63">
        <f>+'Estructura Básica PPI'!AC55</f>
        <v>0</v>
      </c>
      <c r="F11" s="58">
        <v>0</v>
      </c>
      <c r="G11" s="63">
        <f>+'Estructura Básica PPI'!AD55</f>
        <v>0</v>
      </c>
      <c r="H11" s="58">
        <f>+G11/G15</f>
        <v>0</v>
      </c>
      <c r="I11" s="63">
        <f>+'Estructura Básica PPI'!AE55</f>
        <v>0</v>
      </c>
      <c r="J11" s="58">
        <f>+I11/I15</f>
        <v>0</v>
      </c>
      <c r="K11" s="63">
        <f t="shared" si="0"/>
        <v>60000</v>
      </c>
      <c r="L11" s="59">
        <f>+K11/K15</f>
        <v>1.8867485980002652E-2</v>
      </c>
      <c r="P11" s="44"/>
    </row>
    <row r="12" spans="1:37" ht="16.5" x14ac:dyDescent="0.3">
      <c r="A12" s="62" t="s">
        <v>116</v>
      </c>
      <c r="B12" s="56"/>
      <c r="C12" s="63">
        <f>+'Estructura Básica PPI'!AB56</f>
        <v>0</v>
      </c>
      <c r="D12" s="58">
        <f>+C12/C15</f>
        <v>0</v>
      </c>
      <c r="E12" s="63">
        <f>+'Estructura Básica PPI'!AC56</f>
        <v>100000</v>
      </c>
      <c r="F12" s="58">
        <f>+E12/E15</f>
        <v>0.11970406478797839</v>
      </c>
      <c r="G12" s="63">
        <f>+'Estructura Básica PPI'!AD56</f>
        <v>50000</v>
      </c>
      <c r="H12" s="58">
        <f>+G12/G15</f>
        <v>6.4311815976171499E-2</v>
      </c>
      <c r="I12" s="63">
        <f>+'Estructura Básica PPI'!AE56</f>
        <v>0</v>
      </c>
      <c r="J12" s="58">
        <f>+I12/I15</f>
        <v>0</v>
      </c>
      <c r="K12" s="63">
        <f t="shared" si="0"/>
        <v>150000</v>
      </c>
      <c r="L12" s="59">
        <f>+K12/K15</f>
        <v>4.7168714950006622E-2</v>
      </c>
      <c r="P12" s="44"/>
    </row>
    <row r="13" spans="1:37" ht="16.5" x14ac:dyDescent="0.3">
      <c r="A13" s="65" t="s">
        <v>117</v>
      </c>
      <c r="B13" s="56" t="e">
        <f>#REF!*100/#REF!-100</f>
        <v>#REF!</v>
      </c>
      <c r="C13" s="63">
        <f>+'Estructura Básica PPI'!AB57</f>
        <v>18738.510999999999</v>
      </c>
      <c r="D13" s="58">
        <f>+C13/C15</f>
        <v>2.3116556564109457E-2</v>
      </c>
      <c r="E13" s="63">
        <f>+'Estructura Básica PPI'!AC57</f>
        <v>0</v>
      </c>
      <c r="F13" s="58">
        <f>+E13/E15</f>
        <v>0</v>
      </c>
      <c r="G13" s="63">
        <f>+'Estructura Básica PPI'!AD57</f>
        <v>0</v>
      </c>
      <c r="H13" s="58">
        <f>+G13/G15</f>
        <v>0</v>
      </c>
      <c r="I13" s="63">
        <f>+'Estructura Básica PPI'!AE57</f>
        <v>0</v>
      </c>
      <c r="J13" s="58">
        <f>+I13/I15</f>
        <v>0</v>
      </c>
      <c r="K13" s="63">
        <f t="shared" si="0"/>
        <v>18738.510999999999</v>
      </c>
      <c r="L13" s="59">
        <f>+K13/K15</f>
        <v>5.8924765596437573E-3</v>
      </c>
      <c r="P13" s="44"/>
    </row>
    <row r="14" spans="1:37" ht="33" x14ac:dyDescent="0.3">
      <c r="A14" s="66" t="s">
        <v>118</v>
      </c>
      <c r="B14" s="56"/>
      <c r="C14" s="67">
        <f>+'Estructura Básica PPI'!AB58</f>
        <v>84039.687539999999</v>
      </c>
      <c r="D14" s="58">
        <f>+C14/C15</f>
        <v>0.10367462978507176</v>
      </c>
      <c r="E14" s="68">
        <f>+'Estructura Básica PPI'!AC58</f>
        <v>86878.384091999993</v>
      </c>
      <c r="F14" s="58">
        <f>+E14/E15</f>
        <v>0.10399695718023638</v>
      </c>
      <c r="G14" s="68">
        <f>+'Estructura Básica PPI'!AD58</f>
        <v>82678.204115999994</v>
      </c>
      <c r="H14" s="58">
        <f>+G14/G15</f>
        <v>0.10634370896697072</v>
      </c>
      <c r="I14" s="68">
        <f>+'Estructura Básica PPI'!AE58</f>
        <v>109541.32386</v>
      </c>
      <c r="J14" s="58">
        <f>+I14/I15</f>
        <v>0.14477943205530114</v>
      </c>
      <c r="K14" s="63">
        <f t="shared" si="0"/>
        <v>363137.59960799996</v>
      </c>
      <c r="L14" s="59">
        <f>+K14/K15</f>
        <v>0.11419155949026259</v>
      </c>
      <c r="P14" s="69"/>
    </row>
    <row r="15" spans="1:37" ht="16.5" x14ac:dyDescent="0.3">
      <c r="A15" s="70" t="s">
        <v>119</v>
      </c>
      <c r="B15" s="71" t="e">
        <f>#REF!*100/#REF!-100</f>
        <v>#REF!</v>
      </c>
      <c r="C15" s="72">
        <f>+C6+C9+C10+C11+C12+C13+C14</f>
        <v>810609.960356</v>
      </c>
      <c r="D15" s="73">
        <f>+C15/C15</f>
        <v>1</v>
      </c>
      <c r="E15" s="72">
        <f>+E6+E9+E10+E11+E12+E13+E14</f>
        <v>835393.51965299994</v>
      </c>
      <c r="F15" s="73">
        <f>+E15/E15</f>
        <v>1</v>
      </c>
      <c r="G15" s="72">
        <f>+G6+G9+G10+G11+G12+G13+G14</f>
        <v>777462.10771789995</v>
      </c>
      <c r="H15" s="73">
        <f>+G15/G15</f>
        <v>1</v>
      </c>
      <c r="I15" s="72">
        <f>+I6+I9+I10+I11+I12+I13+I14</f>
        <v>756608.32692145591</v>
      </c>
      <c r="J15" s="73">
        <f>+I15/I15</f>
        <v>1</v>
      </c>
      <c r="K15" s="72">
        <f>+K6+K9+K10+K11+K12+K13+K14</f>
        <v>3180073.9146483559</v>
      </c>
      <c r="L15" s="74">
        <f>+K15/K15</f>
        <v>1</v>
      </c>
      <c r="P15" s="69"/>
    </row>
    <row r="16" spans="1:37" ht="16.5" x14ac:dyDescent="0.3">
      <c r="A16" s="235" t="s">
        <v>120</v>
      </c>
      <c r="B16" s="236"/>
      <c r="C16" s="236"/>
      <c r="D16" s="236"/>
      <c r="E16" s="236"/>
      <c r="F16" s="236"/>
      <c r="G16" s="236"/>
      <c r="H16" s="236"/>
      <c r="I16" s="236"/>
      <c r="J16" s="236"/>
      <c r="K16" s="236"/>
      <c r="L16" s="237"/>
    </row>
    <row r="17" spans="1:15" x14ac:dyDescent="0.2">
      <c r="A17" s="75"/>
      <c r="B17" s="76"/>
      <c r="C17" s="40" t="s">
        <v>121</v>
      </c>
      <c r="M17" s="77"/>
      <c r="O17" s="44"/>
    </row>
    <row r="18" spans="1:15" ht="15" x14ac:dyDescent="0.25">
      <c r="F18"/>
      <c r="M18" s="77"/>
      <c r="O18" s="44"/>
    </row>
    <row r="19" spans="1:15" ht="15" x14ac:dyDescent="0.25">
      <c r="A19" s="238" t="s">
        <v>107</v>
      </c>
      <c r="C19" s="231" t="s">
        <v>84</v>
      </c>
      <c r="D19" s="233" t="s">
        <v>109</v>
      </c>
      <c r="F19"/>
      <c r="M19" s="77"/>
      <c r="O19" s="44"/>
    </row>
    <row r="20" spans="1:15" x14ac:dyDescent="0.2">
      <c r="A20" s="239"/>
      <c r="C20" s="232"/>
      <c r="D20" s="234"/>
      <c r="M20" s="77"/>
      <c r="O20" s="44"/>
    </row>
    <row r="21" spans="1:15" ht="49.5" x14ac:dyDescent="0.3">
      <c r="A21" s="78" t="s">
        <v>122</v>
      </c>
      <c r="C21" s="57">
        <f t="shared" ref="C21:C28" si="1">+K7</f>
        <v>286401.05839199998</v>
      </c>
      <c r="D21" s="59">
        <v>9.0061120281583404E-2</v>
      </c>
    </row>
    <row r="22" spans="1:15" ht="49.5" x14ac:dyDescent="0.3">
      <c r="A22" s="78" t="s">
        <v>123</v>
      </c>
      <c r="C22" s="57">
        <f t="shared" si="1"/>
        <v>193957.32086800001</v>
      </c>
      <c r="D22" s="59">
        <v>6.099144809128166E-2</v>
      </c>
    </row>
    <row r="23" spans="1:15" ht="33" x14ac:dyDescent="0.3">
      <c r="A23" s="62" t="s">
        <v>113</v>
      </c>
      <c r="C23" s="63">
        <f t="shared" si="1"/>
        <v>1985955.3425495001</v>
      </c>
      <c r="D23" s="59">
        <v>0.6244997718134645</v>
      </c>
    </row>
    <row r="24" spans="1:15" ht="16.5" x14ac:dyDescent="0.3">
      <c r="A24" s="64" t="s">
        <v>114</v>
      </c>
      <c r="C24" s="63">
        <f t="shared" si="1"/>
        <v>121884.082230856</v>
      </c>
      <c r="D24" s="59">
        <v>3.8327413606797846E-2</v>
      </c>
    </row>
    <row r="25" spans="1:15" ht="16.5" x14ac:dyDescent="0.3">
      <c r="A25" s="64" t="s">
        <v>115</v>
      </c>
      <c r="C25" s="63">
        <f t="shared" si="1"/>
        <v>60000</v>
      </c>
      <c r="D25" s="59">
        <v>1.8867487253518684E-2</v>
      </c>
    </row>
    <row r="26" spans="1:15" ht="16.5" x14ac:dyDescent="0.3">
      <c r="A26" s="62" t="s">
        <v>116</v>
      </c>
      <c r="C26" s="63">
        <f t="shared" si="1"/>
        <v>150000</v>
      </c>
      <c r="D26" s="59">
        <v>4.7168718133796708E-2</v>
      </c>
    </row>
    <row r="27" spans="1:15" ht="16.5" x14ac:dyDescent="0.3">
      <c r="A27" s="65" t="s">
        <v>117</v>
      </c>
      <c r="C27" s="63">
        <f t="shared" si="1"/>
        <v>18738.510999999999</v>
      </c>
      <c r="D27" s="59">
        <v>5.8924734983343309E-3</v>
      </c>
    </row>
    <row r="28" spans="1:15" ht="33" x14ac:dyDescent="0.3">
      <c r="A28" s="66" t="s">
        <v>118</v>
      </c>
      <c r="C28" s="63">
        <f t="shared" si="1"/>
        <v>363137.59960799996</v>
      </c>
      <c r="D28" s="59">
        <v>0.11419156732122276</v>
      </c>
    </row>
  </sheetData>
  <sheetProtection algorithmName="SHA-512" hashValue="4ttYvX/3UwnNER0RsrdbFK3s5chEzI8+IBUblKdnzZEEWOaS6GejSqFrnywDRF+z9Y20TNERPj8t+ayeamDWaQ==" saltValue="bmvbwB3NGzTyN5vMpBLnhw==" spinCount="100000" sheet="1" objects="1" scenarios="1" selectLockedCells="1" selectUnlockedCells="1"/>
  <mergeCells count="18">
    <mergeCell ref="A1:L1"/>
    <mergeCell ref="A2:L2"/>
    <mergeCell ref="A3:L3"/>
    <mergeCell ref="A4:A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A16:L16"/>
    <mergeCell ref="A19:A20"/>
    <mergeCell ref="C19:C20"/>
    <mergeCell ref="D19:D20"/>
  </mergeCells>
  <pageMargins left="0.7" right="0.7" top="0.75" bottom="0.75" header="0.3" footer="0.3"/>
  <ignoredErrors>
    <ignoredError sqref="K6:K14" 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36"/>
  <sheetViews>
    <sheetView topLeftCell="A21" zoomScale="111" zoomScaleNormal="111" workbookViewId="0">
      <selection activeCell="F23" sqref="F23"/>
    </sheetView>
  </sheetViews>
  <sheetFormatPr baseColWidth="10" defaultColWidth="11.42578125" defaultRowHeight="15" x14ac:dyDescent="0.25"/>
  <cols>
    <col min="1" max="1" width="16.85546875" customWidth="1"/>
    <col min="2" max="2" width="12.7109375" bestFit="1" customWidth="1"/>
    <col min="3" max="3" width="11" bestFit="1" customWidth="1"/>
    <col min="4" max="4" width="11.42578125" bestFit="1" customWidth="1"/>
    <col min="5" max="5" width="11" bestFit="1" customWidth="1"/>
    <col min="6" max="6" width="11.42578125" bestFit="1" customWidth="1"/>
    <col min="7" max="7" width="11" bestFit="1" customWidth="1"/>
    <col min="8" max="8" width="11.42578125" bestFit="1" customWidth="1"/>
    <col min="9" max="9" width="11" bestFit="1" customWidth="1"/>
    <col min="10" max="10" width="13.42578125" bestFit="1" customWidth="1"/>
    <col min="11" max="11" width="11" bestFit="1" customWidth="1"/>
  </cols>
  <sheetData>
    <row r="1" spans="1:11" x14ac:dyDescent="0.25">
      <c r="A1" s="244" t="s">
        <v>124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</row>
    <row r="2" spans="1:11" x14ac:dyDescent="0.25">
      <c r="A2" s="246" t="s">
        <v>125</v>
      </c>
      <c r="B2" s="247"/>
      <c r="C2" s="247"/>
      <c r="D2" s="247"/>
      <c r="E2" s="247"/>
      <c r="F2" s="247"/>
      <c r="G2" s="247"/>
      <c r="H2" s="247"/>
      <c r="I2" s="247"/>
      <c r="J2" s="247"/>
      <c r="K2" s="247"/>
    </row>
    <row r="3" spans="1:11" x14ac:dyDescent="0.25">
      <c r="A3" s="248" t="s">
        <v>126</v>
      </c>
      <c r="B3" s="249"/>
      <c r="C3" s="249"/>
      <c r="D3" s="249"/>
      <c r="E3" s="249"/>
      <c r="F3" s="249"/>
      <c r="G3" s="249"/>
      <c r="H3" s="249"/>
      <c r="I3" s="249"/>
      <c r="J3" s="249"/>
      <c r="K3" s="249"/>
    </row>
    <row r="4" spans="1:11" ht="24" customHeight="1" x14ac:dyDescent="0.25">
      <c r="A4" s="81" t="s">
        <v>107</v>
      </c>
      <c r="B4" s="99">
        <v>2020</v>
      </c>
      <c r="C4" s="99" t="s">
        <v>109</v>
      </c>
      <c r="D4" s="99">
        <v>2021</v>
      </c>
      <c r="E4" s="99" t="s">
        <v>109</v>
      </c>
      <c r="F4" s="99">
        <v>2022</v>
      </c>
      <c r="G4" s="99" t="s">
        <v>109</v>
      </c>
      <c r="H4" s="99">
        <v>2023</v>
      </c>
      <c r="I4" s="99" t="s">
        <v>109</v>
      </c>
      <c r="J4" s="99" t="s">
        <v>84</v>
      </c>
      <c r="K4" s="99" t="s">
        <v>127</v>
      </c>
    </row>
    <row r="5" spans="1:11" ht="39" x14ac:dyDescent="0.25">
      <c r="A5" s="89" t="s">
        <v>128</v>
      </c>
      <c r="B5" s="100">
        <f>SUM(B6:B10)</f>
        <v>649858.77973099996</v>
      </c>
      <c r="C5" s="101">
        <f>+B5/B24</f>
        <v>0.89441971966773992</v>
      </c>
      <c r="D5" s="100">
        <f>SUM(D6:D10)</f>
        <v>577843.87973799999</v>
      </c>
      <c r="E5" s="102">
        <f>+D5/D24</f>
        <v>0.77198690084591992</v>
      </c>
      <c r="F5" s="100">
        <f>SUM(F6:F10)</f>
        <v>577615.7087824</v>
      </c>
      <c r="G5" s="102">
        <f>+F5/F24</f>
        <v>0.83136023415039351</v>
      </c>
      <c r="H5" s="100">
        <f>SUM(H6:H10)</f>
        <v>581170.92400545592</v>
      </c>
      <c r="I5" s="102">
        <f>+H5/H24</f>
        <v>0.89816189244046252</v>
      </c>
      <c r="J5" s="100">
        <f>SUM(J6:J10)</f>
        <v>2386489.2922568563</v>
      </c>
      <c r="K5" s="102">
        <f>+J5/J24</f>
        <v>0.84719320046916524</v>
      </c>
    </row>
    <row r="6" spans="1:11" ht="30" customHeight="1" x14ac:dyDescent="0.25">
      <c r="A6" s="90" t="s">
        <v>24</v>
      </c>
      <c r="B6" s="103">
        <f>+'Estructura Básica PPI'!E11+'Estructura Básica PPI'!F11+'Estructura Básica PPI'!G11+'Estructura Básica PPI'!H11+'Estructura Básica PPI'!I11+'Estructura Básica PPI'!J11+'Estructura Básica PPI'!K11</f>
        <v>145545.753</v>
      </c>
      <c r="C6" s="104">
        <f>+B6/B24</f>
        <v>0.20031889336168682</v>
      </c>
      <c r="D6" s="103">
        <f>+'Estructura Básica PPI'!L11+'Estructura Básica PPI'!M11+'Estructura Básica PPI'!N11+'Estructura Básica PPI'!O11+'Estructura Básica PPI'!P11+'Estructura Básica PPI'!Q11+'Estructura Básica PPI'!R11</f>
        <v>65551.861734999999</v>
      </c>
      <c r="E6" s="105">
        <f>+D6/D24</f>
        <v>8.7575866700237051E-2</v>
      </c>
      <c r="F6" s="103">
        <f>+'Estructura Básica PPI'!S11+'Estructura Básica PPI'!T11+'Estructura Básica PPI'!U11+'Estructura Básica PPI'!V11+'Estructura Básica PPI'!W11+'Estructura Básica PPI'!X11+'Estructura Básica PPI'!Y11</f>
        <v>61869.068077400007</v>
      </c>
      <c r="G6" s="105">
        <f>+F6/F24</f>
        <v>8.9047929516873195E-2</v>
      </c>
      <c r="H6" s="103">
        <f>+'Estructura Básica PPI'!Z11+'Estructura Básica PPI'!AA11+'Estructura Básica PPI'!AB11+'Estructura Básica PPI'!AC11+'Estructura Básica PPI'!AD11+'Estructura Básica PPI'!AE11+'Estructura Básica PPI'!AF11</f>
        <v>62354.600126456004</v>
      </c>
      <c r="I6" s="105">
        <f>+H6/H24</f>
        <v>9.6364982036541577E-2</v>
      </c>
      <c r="J6" s="106">
        <f>+B6+D6+F6+H6</f>
        <v>335321.28293885605</v>
      </c>
      <c r="K6" s="105">
        <f>+J6/J24</f>
        <v>0.1190375803487244</v>
      </c>
    </row>
    <row r="7" spans="1:11" ht="44.1" customHeight="1" x14ac:dyDescent="0.25">
      <c r="A7" s="90" t="s">
        <v>27</v>
      </c>
      <c r="B7" s="103">
        <f>+'Estructura Básica PPI'!E12+'Estructura Básica PPI'!F12+'Estructura Básica PPI'!G12+'Estructura Básica PPI'!H12+'Estructura Básica PPI'!I12+'Estructura Básica PPI'!J12+'Estructura Básica PPI'!K12</f>
        <v>490895.821131</v>
      </c>
      <c r="C7" s="104">
        <f>+B7/B24</f>
        <v>0.67563433228339187</v>
      </c>
      <c r="D7" s="103">
        <f>+'Estructura Básica PPI'!L12+'Estructura Básica PPI'!M12+'Estructura Básica PPI'!N12+'Estructura Básica PPI'!O12+'Estructura Básica PPI'!P12+'Estructura Básica PPI'!Q12+'Estructura Básica PPI'!R12</f>
        <v>497423.22637500003</v>
      </c>
      <c r="E7" s="105">
        <f>+D7/D24</f>
        <v>0.664546650753013</v>
      </c>
      <c r="F7" s="103">
        <f>+'Estructura Básica PPI'!S12+'Estructura Básica PPI'!T12+'Estructura Básica PPI'!U12+'Estructura Básica PPI'!V12+'Estructura Básica PPI'!W12+'Estructura Básica PPI'!X12+'Estructura Básica PPI'!Y12</f>
        <v>502984.66116100003</v>
      </c>
      <c r="G7" s="105">
        <f>+F7/F24</f>
        <v>0.72394403289055209</v>
      </c>
      <c r="H7" s="103">
        <f>+'Estructura Básica PPI'!Z12+'Estructura Básica PPI'!AA12+'Estructura Básica PPI'!AB12+'Estructura Básica PPI'!AC12+'Estructura Básica PPI'!AD12+'Estructura Básica PPI'!AE12+'Estructura Básica PPI'!AF12</f>
        <v>506169.51464199997</v>
      </c>
      <c r="I7" s="105">
        <f>+H7/H24</f>
        <v>0.782252088651051</v>
      </c>
      <c r="J7" s="106">
        <f t="shared" ref="J7:J10" si="0">+B7+D7+F7+H7</f>
        <v>1997473.223309</v>
      </c>
      <c r="K7" s="105">
        <f>+J7/J24</f>
        <v>0.70909420729321082</v>
      </c>
    </row>
    <row r="8" spans="1:11" ht="30" customHeight="1" x14ac:dyDescent="0.25">
      <c r="A8" s="91" t="s">
        <v>30</v>
      </c>
      <c r="B8" s="103">
        <f>+'Estructura Básica PPI'!E13+'Estructura Básica PPI'!F13+'Estructura Básica PPI'!G13+'Estructura Básica PPI'!H13+'Estructura Básica PPI'!I13+'Estructura Básica PPI'!J13+'Estructura Básica PPI'!K13</f>
        <v>4017.2056000000002</v>
      </c>
      <c r="C8" s="104">
        <f>+B8/B24</f>
        <v>5.5289980202883095E-3</v>
      </c>
      <c r="D8" s="103">
        <f>+'Estructura Básica PPI'!L13+'Estructura Básica PPI'!M13+'Estructura Básica PPI'!N13+'Estructura Básica PPI'!O13+'Estructura Básica PPI'!P13+'Estructura Básica PPI'!Q13+'Estructura Básica PPI'!R13</f>
        <v>5468.7916279999999</v>
      </c>
      <c r="E8" s="105">
        <f>+D8/D24</f>
        <v>7.3061871005470442E-3</v>
      </c>
      <c r="F8" s="103">
        <f>+'Estructura Básica PPI'!S13+'Estructura Básica PPI'!T13+'Estructura Básica PPI'!U13+'Estructura Básica PPI'!V13+'Estructura Básica PPI'!W13+'Estructura Básica PPI'!X13+'Estructura Básica PPI'!Y13</f>
        <v>3881.9795439999998</v>
      </c>
      <c r="G8" s="105">
        <f>+F8/F24</f>
        <v>5.5873193432879409E-3</v>
      </c>
      <c r="H8" s="103">
        <f>+'Estructura Básica PPI'!Z13+'Estructura Básica PPI'!AA13+'Estructura Básica PPI'!AB13+'Estructura Básica PPI'!AC13+'Estructura Básica PPI'!AD13+'Estructura Básica PPI'!AE13+'Estructura Básica PPI'!AF13</f>
        <v>3806.8092369999999</v>
      </c>
      <c r="I8" s="105">
        <f>+H8/H24</f>
        <v>5.8831762692100114E-3</v>
      </c>
      <c r="J8" s="106">
        <f t="shared" si="0"/>
        <v>17174.786008999999</v>
      </c>
      <c r="K8" s="105">
        <f>+J8/J24</f>
        <v>6.0969734804792513E-3</v>
      </c>
    </row>
    <row r="9" spans="1:11" ht="30" customHeight="1" x14ac:dyDescent="0.25">
      <c r="A9" s="92" t="s">
        <v>32</v>
      </c>
      <c r="B9" s="103">
        <f>+'Estructura Básica PPI'!E14+'Estructura Básica PPI'!F14+'Estructura Básica PPI'!G14+'Estructura Básica PPI'!H14+'Estructura Básica PPI'!I14+'Estructura Básica PPI'!J14+'Estructura Básica PPI'!K14</f>
        <v>7200</v>
      </c>
      <c r="C9" s="104">
        <f>+B9/B24</f>
        <v>9.9095714060728739E-3</v>
      </c>
      <c r="D9" s="103">
        <f>+'Estructura Básica PPI'!L14+'Estructura Básica PPI'!M14+'Estructura Básica PPI'!N14+'Estructura Básica PPI'!O14+'Estructura Básica PPI'!P14+'Estructura Básica PPI'!Q14+'Estructura Básica PPI'!R14</f>
        <v>7200</v>
      </c>
      <c r="E9" s="105">
        <f>+D9/D24</f>
        <v>9.6190439684345416E-3</v>
      </c>
      <c r="F9" s="103">
        <f>+'Estructura Básica PPI'!S14+'Estructura Básica PPI'!T14+'Estructura Básica PPI'!U14+'Estructura Básica PPI'!V14+'Estructura Básica PPI'!W14+'Estructura Básica PPI'!X14+'Estructura Básica PPI'!Y14</f>
        <v>7200</v>
      </c>
      <c r="G9" s="105">
        <f>+F9/F24</f>
        <v>1.0362934378119221E-2</v>
      </c>
      <c r="H9" s="103">
        <f>+'Estructura Básica PPI'!Z14+'Estructura Básica PPI'!AA14+'Estructura Básica PPI'!AB14+'Estructura Básica PPI'!AC14+'Estructura Básica PPI'!AD14+'Estructura Básica PPI'!AE14+'Estructura Básica PPI'!AF14</f>
        <v>7200</v>
      </c>
      <c r="I9" s="105">
        <f>+H9/H24</f>
        <v>1.1127132068139426E-2</v>
      </c>
      <c r="J9" s="106">
        <f t="shared" si="0"/>
        <v>28800</v>
      </c>
      <c r="K9" s="105">
        <f>+J9/J24</f>
        <v>1.0223873307404679E-2</v>
      </c>
    </row>
    <row r="10" spans="1:11" ht="57.95" customHeight="1" x14ac:dyDescent="0.25">
      <c r="A10" s="93" t="s">
        <v>34</v>
      </c>
      <c r="B10" s="103">
        <f>+'Estructura Básica PPI'!E15+'Estructura Básica PPI'!F15+'Estructura Básica PPI'!G15+'Estructura Básica PPI'!H15+'Estructura Básica PPI'!I15+'Estructura Básica PPI'!J15+'Estructura Básica PPI'!K15</f>
        <v>2200</v>
      </c>
      <c r="C10" s="104">
        <f>+B10/B24</f>
        <v>3.0279245963000449E-3</v>
      </c>
      <c r="D10" s="103">
        <f>+'Estructura Básica PPI'!L15+'Estructura Básica PPI'!M15+'Estructura Básica PPI'!N15+'Estructura Básica PPI'!O15+'Estructura Básica PPI'!P15+'Estructura Básica PPI'!Q15+'Estructura Básica PPI'!R15</f>
        <v>2200</v>
      </c>
      <c r="E10" s="105">
        <f>+D10/D24</f>
        <v>2.9391523236883322E-3</v>
      </c>
      <c r="F10" s="103">
        <f>+'Estructura Básica PPI'!S15+'Estructura Básica PPI'!T15+'Estructura Básica PPI'!U15+'Estructura Básica PPI'!V15+'Estructura Básica PPI'!W15+'Estructura Básica PPI'!X15+'Estructura Básica PPI'!Y15</f>
        <v>1680</v>
      </c>
      <c r="G10" s="105">
        <f>+F10/F24</f>
        <v>2.4180180215611514E-3</v>
      </c>
      <c r="H10" s="103">
        <f>+'Estructura Básica PPI'!Z15+'Estructura Básica PPI'!AA15+'Estructura Básica PPI'!AB15+'Estructura Básica PPI'!AC15+'Estructura Básica PPI'!AD15+'Estructura Básica PPI'!AE15+'Estructura Básica PPI'!AF15</f>
        <v>1640</v>
      </c>
      <c r="I10" s="105">
        <f>+H10/H24</f>
        <v>2.5345134155206474E-3</v>
      </c>
      <c r="J10" s="106">
        <f t="shared" si="0"/>
        <v>7720</v>
      </c>
      <c r="K10" s="105">
        <f>+J10/J24</f>
        <v>2.7405660393459768E-3</v>
      </c>
    </row>
    <row r="11" spans="1:11" ht="26.25" x14ac:dyDescent="0.25">
      <c r="A11" s="89" t="s">
        <v>129</v>
      </c>
      <c r="B11" s="107">
        <f>SUM(B12:B15)</f>
        <v>44927.136354999995</v>
      </c>
      <c r="C11" s="101">
        <f>+B11/B24</f>
        <v>6.1834536913922919E-2</v>
      </c>
      <c r="D11" s="107">
        <f>SUM(D12:D15)</f>
        <v>140940.53506199998</v>
      </c>
      <c r="E11" s="102">
        <f>+D11/D24</f>
        <v>0.18829350051334276</v>
      </c>
      <c r="F11" s="107">
        <f>SUM(F12:F15)</f>
        <v>92629.302658000001</v>
      </c>
      <c r="G11" s="102">
        <f>+F11/F24</f>
        <v>0.13332102568552753</v>
      </c>
      <c r="H11" s="107">
        <f>SUM(H12:H15)</f>
        <v>41808.051099000004</v>
      </c>
      <c r="I11" s="102">
        <f>+H11/H24</f>
        <v>6.4611625845846496E-2</v>
      </c>
      <c r="J11" s="107">
        <f>SUM(J12:J15)</f>
        <v>320305.02517400001</v>
      </c>
      <c r="K11" s="102">
        <f>+J11/J24</f>
        <v>0.11370687489944592</v>
      </c>
    </row>
    <row r="12" spans="1:11" ht="39" customHeight="1" x14ac:dyDescent="0.25">
      <c r="A12" s="90" t="s">
        <v>40</v>
      </c>
      <c r="B12" s="108">
        <f>+'Estructura Básica PPI'!E23</f>
        <v>3950</v>
      </c>
      <c r="C12" s="104">
        <f>+B12/B24</f>
        <v>5.4365009797205351E-3</v>
      </c>
      <c r="D12" s="108">
        <f>+'Estructura Básica PPI'!L23</f>
        <v>4650</v>
      </c>
      <c r="E12" s="105">
        <f>+D12/D24</f>
        <v>6.2122992296139747E-3</v>
      </c>
      <c r="F12" s="108">
        <f>+'Estructura Básica PPI'!S23</f>
        <v>3060</v>
      </c>
      <c r="G12" s="105">
        <f>+F12/F24</f>
        <v>4.4042471107006691E-3</v>
      </c>
      <c r="H12" s="108">
        <f>+'Estructura Básica PPI'!Z23</f>
        <v>2980</v>
      </c>
      <c r="I12" s="105">
        <f>+H12/H24</f>
        <v>4.6053963282021515E-3</v>
      </c>
      <c r="J12" s="106">
        <f>+B12+D12+F12+H12</f>
        <v>14640</v>
      </c>
      <c r="K12" s="105">
        <f>+J12/J24</f>
        <v>5.1971355979307122E-3</v>
      </c>
    </row>
    <row r="13" spans="1:11" ht="42" customHeight="1" x14ac:dyDescent="0.25">
      <c r="A13" s="93" t="s">
        <v>42</v>
      </c>
      <c r="B13" s="108">
        <f>+'Estructura Básica PPI'!E24</f>
        <v>3000</v>
      </c>
      <c r="C13" s="104">
        <f>+B13/B24</f>
        <v>4.1289880858636973E-3</v>
      </c>
      <c r="D13" s="108">
        <f>+'Estructura Básica PPI'!L24</f>
        <v>4950</v>
      </c>
      <c r="E13" s="105">
        <f>+D13/D24</f>
        <v>6.6130927282987469E-3</v>
      </c>
      <c r="F13" s="108">
        <f>+'Estructura Básica PPI'!S24</f>
        <v>3360</v>
      </c>
      <c r="G13" s="105">
        <f>+F13/F24</f>
        <v>4.8360360431223028E-3</v>
      </c>
      <c r="H13" s="108">
        <f>+'Estructura Básica PPI'!Z24</f>
        <v>3280</v>
      </c>
      <c r="I13" s="105">
        <f>+H13/H24</f>
        <v>5.0690268310412947E-3</v>
      </c>
      <c r="J13" s="106">
        <f t="shared" ref="J13:J15" si="1">+B13+D13+F13+H13</f>
        <v>14590</v>
      </c>
      <c r="K13" s="105">
        <f>+J13/J24</f>
        <v>5.1793858178831344E-3</v>
      </c>
    </row>
    <row r="14" spans="1:11" ht="27.95" customHeight="1" x14ac:dyDescent="0.25">
      <c r="A14" s="91" t="s">
        <v>45</v>
      </c>
      <c r="B14" s="108">
        <f>+'Estructura Básica PPI'!E25+'Estructura Básica PPI'!F25</f>
        <v>34477.136354999995</v>
      </c>
      <c r="C14" s="104">
        <f>+B14/B24</f>
        <v>4.7451895081497705E-2</v>
      </c>
      <c r="D14" s="108">
        <f>+'Estructura Básica PPI'!L25+'Estructura Básica PPI'!M25+'Estructura Básica PPI'!Q25</f>
        <v>130340.535062</v>
      </c>
      <c r="E14" s="105">
        <f>+D14/D24</f>
        <v>0.17413213022648083</v>
      </c>
      <c r="F14" s="108">
        <f>+'Estructura Básica PPI'!S25+'Estructura Básica PPI'!T25+'Estructura Básica PPI'!X25</f>
        <v>85709.302658000001</v>
      </c>
      <c r="G14" s="105">
        <f>+F14/F24</f>
        <v>0.12336109431100185</v>
      </c>
      <c r="H14" s="108">
        <f>+'Estructura Básica PPI'!Z25+'Estructura Básica PPI'!AA25</f>
        <v>35048.051099000004</v>
      </c>
      <c r="I14" s="105">
        <f>+H14/H24</f>
        <v>5.4164485181871141E-2</v>
      </c>
      <c r="J14" s="106">
        <f t="shared" si="1"/>
        <v>285575.02517400001</v>
      </c>
      <c r="K14" s="105">
        <f>+J14/J24</f>
        <v>0.10137787767839855</v>
      </c>
    </row>
    <row r="15" spans="1:11" ht="69" customHeight="1" x14ac:dyDescent="0.25">
      <c r="A15" s="90" t="s">
        <v>48</v>
      </c>
      <c r="B15" s="108">
        <f>+'Estructura Básica PPI'!E26</f>
        <v>3500</v>
      </c>
      <c r="C15" s="104">
        <f>+B15/B24</f>
        <v>4.8171527668409804E-3</v>
      </c>
      <c r="D15" s="108">
        <f>+'Estructura Básica PPI'!L26</f>
        <v>1000</v>
      </c>
      <c r="E15" s="105">
        <f>+D15/D24</f>
        <v>1.3359783289492418E-3</v>
      </c>
      <c r="F15" s="108">
        <f>+'Estructura Básica PPI'!S26</f>
        <v>500</v>
      </c>
      <c r="G15" s="105">
        <f>+F15/F24</f>
        <v>7.1964822070272371E-4</v>
      </c>
      <c r="H15" s="108">
        <f>+'Estructura Básica PPI'!Z26</f>
        <v>500</v>
      </c>
      <c r="I15" s="105">
        <f>+H15/H24</f>
        <v>7.7271750473190462E-4</v>
      </c>
      <c r="J15" s="106">
        <f t="shared" si="1"/>
        <v>5500</v>
      </c>
      <c r="K15" s="105">
        <f>+J15/J24</f>
        <v>1.9524758052335326E-3</v>
      </c>
    </row>
    <row r="16" spans="1:11" ht="42" customHeight="1" x14ac:dyDescent="0.25">
      <c r="A16" s="89" t="s">
        <v>130</v>
      </c>
      <c r="B16" s="107">
        <f>SUM(B17:B19)</f>
        <v>17560.308839999998</v>
      </c>
      <c r="C16" s="101">
        <f>+B16/B24</f>
        <v>2.4168768661482321E-2</v>
      </c>
      <c r="D16" s="107">
        <f>SUM(D17:D19)</f>
        <v>12700.561677000002</v>
      </c>
      <c r="E16" s="102">
        <f>+D16/D24</f>
        <v>1.6967675165955244E-2</v>
      </c>
      <c r="F16" s="107">
        <f>SUM(F17:F19)</f>
        <v>10665.931488</v>
      </c>
      <c r="G16" s="102">
        <f>+F16/F24</f>
        <v>1.5351437234952707E-2</v>
      </c>
      <c r="H16" s="107">
        <f>SUM(H17:H19)</f>
        <v>10084.172870999999</v>
      </c>
      <c r="I16" s="102">
        <f>+H16/H24</f>
        <v>1.5584433796328572E-2</v>
      </c>
      <c r="J16" s="107">
        <f>SUM(J17:J19)</f>
        <v>51010.974876</v>
      </c>
      <c r="K16" s="102">
        <f>+J16/J24</f>
        <v>1.810867168123011E-2</v>
      </c>
    </row>
    <row r="17" spans="1:11" ht="69" customHeight="1" x14ac:dyDescent="0.25">
      <c r="A17" s="94" t="s">
        <v>54</v>
      </c>
      <c r="B17" s="108">
        <f>+'Estructura Básica PPI'!E34</f>
        <v>2200</v>
      </c>
      <c r="C17" s="104">
        <f>+B17/B24</f>
        <v>3.0279245963000449E-3</v>
      </c>
      <c r="D17" s="108">
        <f>+'Estructura Básica PPI'!L34</f>
        <v>1200</v>
      </c>
      <c r="E17" s="105">
        <f>+D17/D24</f>
        <v>1.6031739947390902E-3</v>
      </c>
      <c r="F17" s="108">
        <f>+'Estructura Básica PPI'!S34</f>
        <v>1180</v>
      </c>
      <c r="G17" s="105">
        <f>+F17/F24</f>
        <v>1.6983698008584279E-3</v>
      </c>
      <c r="H17" s="108">
        <f>+'Estructura Básica PPI'!Z34</f>
        <v>1140</v>
      </c>
      <c r="I17" s="105">
        <f>+H17/H24</f>
        <v>1.7617959107887426E-3</v>
      </c>
      <c r="J17" s="106">
        <f>+B17+D17+F17+H17</f>
        <v>5720</v>
      </c>
      <c r="K17" s="105">
        <f>+J17/J24</f>
        <v>2.030574837442874E-3</v>
      </c>
    </row>
    <row r="18" spans="1:11" ht="66" customHeight="1" x14ac:dyDescent="0.25">
      <c r="A18" s="95" t="s">
        <v>57</v>
      </c>
      <c r="B18" s="108">
        <f>+'Estructura Básica PPI'!E35+'Estructura Básica PPI'!F35</f>
        <v>12611.30884</v>
      </c>
      <c r="C18" s="104">
        <f>+B18/B24</f>
        <v>1.7357314649169175E-2</v>
      </c>
      <c r="D18" s="108">
        <f>+'Estructura Básica PPI'!L35+'Estructura Básica PPI'!M35</f>
        <v>8737.8166770000007</v>
      </c>
      <c r="E18" s="105">
        <f>+D18/D24</f>
        <v>1.1673533722803279E-2</v>
      </c>
      <c r="F18" s="108">
        <f>+'Estructura Básica PPI'!S35+'Estructura Básica PPI'!T35</f>
        <v>6695.5590380000003</v>
      </c>
      <c r="G18" s="105">
        <f>+F18/F24</f>
        <v>9.6368942966134803E-3</v>
      </c>
      <c r="H18" s="108">
        <f>+'Estructura Básica PPI'!Z35+'Estructura Básica PPI'!AA35</f>
        <v>6111.9448339999999</v>
      </c>
      <c r="I18" s="105">
        <f>+H18/H24</f>
        <v>9.4456135223750706E-3</v>
      </c>
      <c r="J18" s="106">
        <f t="shared" ref="J18:J19" si="2">+B18+D18+F18+H18</f>
        <v>34156.629389000002</v>
      </c>
      <c r="K18" s="105">
        <f>+J18/J24</f>
        <v>1.2125453176427476E-2</v>
      </c>
    </row>
    <row r="19" spans="1:11" ht="30" customHeight="1" x14ac:dyDescent="0.25">
      <c r="A19" s="96" t="s">
        <v>58</v>
      </c>
      <c r="B19" s="108">
        <f>+'Estructura Básica PPI'!F36</f>
        <v>2749</v>
      </c>
      <c r="C19" s="104">
        <f>+B19/B24</f>
        <v>3.7835294160131015E-3</v>
      </c>
      <c r="D19" s="108">
        <f>+'Estructura Básica PPI'!M36</f>
        <v>2762.7449999999999</v>
      </c>
      <c r="E19" s="105">
        <f>+D19/D24</f>
        <v>3.6909674484128731E-3</v>
      </c>
      <c r="F19" s="108">
        <f>+'Estructura Básica PPI'!T36</f>
        <v>2790.3724499999998</v>
      </c>
      <c r="G19" s="105">
        <f>+F19/F24</f>
        <v>4.0161731374807989E-3</v>
      </c>
      <c r="H19" s="108">
        <f>+'Estructura Básica PPI'!AA36</f>
        <v>2832.2280369999999</v>
      </c>
      <c r="I19" s="105">
        <f>+H19/H24</f>
        <v>4.3770243631647606E-3</v>
      </c>
      <c r="J19" s="106">
        <f t="shared" si="2"/>
        <v>11134.345486999999</v>
      </c>
      <c r="K19" s="105">
        <f>+J19/J24</f>
        <v>3.9526436673597582E-3</v>
      </c>
    </row>
    <row r="20" spans="1:11" ht="42" customHeight="1" x14ac:dyDescent="0.25">
      <c r="A20" s="89" t="s">
        <v>131</v>
      </c>
      <c r="B20" s="107">
        <f>SUM(B21:B23)</f>
        <v>14224.047889999998</v>
      </c>
      <c r="C20" s="101">
        <f>+B20/B24</f>
        <v>1.9576974756854885E-2</v>
      </c>
      <c r="D20" s="107">
        <f>SUM(D21:D23)</f>
        <v>17030.159083999999</v>
      </c>
      <c r="E20" s="102">
        <f>+D20/D24</f>
        <v>2.2751923474782072E-2</v>
      </c>
      <c r="F20" s="107">
        <f>SUM(F21:F23)</f>
        <v>13872.9606735</v>
      </c>
      <c r="G20" s="102">
        <f>+F20/F24</f>
        <v>1.9967302929126268E-2</v>
      </c>
      <c r="H20" s="107">
        <f>SUM(H21:H23)</f>
        <v>14003.855086</v>
      </c>
      <c r="I20" s="102">
        <f>+H20/H24</f>
        <v>2.1642047917362222E-2</v>
      </c>
      <c r="J20" s="107">
        <f>SUM(J21:J23)</f>
        <v>59131.022733499995</v>
      </c>
      <c r="K20" s="102">
        <f>+J20/J24</f>
        <v>2.0991252950158676E-2</v>
      </c>
    </row>
    <row r="21" spans="1:11" ht="53.1" customHeight="1" x14ac:dyDescent="0.25">
      <c r="A21" s="97" t="s">
        <v>132</v>
      </c>
      <c r="B21" s="108">
        <f>+'Estructura Básica PPI'!E44</f>
        <v>1924.8908899999999</v>
      </c>
      <c r="C21" s="104">
        <f>+B21/B24</f>
        <v>2.6492838504658563E-3</v>
      </c>
      <c r="D21" s="108">
        <f>+'Estructura Básica PPI'!L44</f>
        <v>1933.0062989999999</v>
      </c>
      <c r="E21" s="105">
        <f>+D21/D24</f>
        <v>2.5824545251863784E-3</v>
      </c>
      <c r="F21" s="108">
        <f>+'Estructura Básica PPI'!S44</f>
        <v>1949.336362</v>
      </c>
      <c r="G21" s="105">
        <f>+F21/F24</f>
        <v>2.8056728889288411E-3</v>
      </c>
      <c r="H21" s="108">
        <f>+'Estructura Básica PPI'!Z44</f>
        <v>1974.0764079999999</v>
      </c>
      <c r="I21" s="105">
        <f>+H21/H24</f>
        <v>3.0508067922797623E-3</v>
      </c>
      <c r="J21" s="106">
        <f>+B21+D21+F21+H21</f>
        <v>7781.3099589999993</v>
      </c>
      <c r="K21" s="105">
        <f>+J21/J24</f>
        <v>2.7623308050854964E-3</v>
      </c>
    </row>
    <row r="22" spans="1:11" ht="51.95" customHeight="1" x14ac:dyDescent="0.25">
      <c r="A22" s="97" t="s">
        <v>65</v>
      </c>
      <c r="B22" s="108">
        <f>+'Estructura Básica PPI'!E45</f>
        <v>2400</v>
      </c>
      <c r="C22" s="104">
        <f>+B22/B24</f>
        <v>3.3031904686909581E-3</v>
      </c>
      <c r="D22" s="108">
        <f>+'Estructura Básica PPI'!L45</f>
        <v>5150</v>
      </c>
      <c r="E22" s="105">
        <f>+D22/D24</f>
        <v>6.880288394088596E-3</v>
      </c>
      <c r="F22" s="108">
        <f>+'Estructura Básica PPI'!S45</f>
        <v>1880</v>
      </c>
      <c r="G22" s="105">
        <f>+F22/F24</f>
        <v>2.705877309842241E-3</v>
      </c>
      <c r="H22" s="108">
        <f>+'Estructura Básica PPI'!Z45</f>
        <v>1840</v>
      </c>
      <c r="I22" s="105">
        <f>+H22/H24</f>
        <v>2.8436004174134089E-3</v>
      </c>
      <c r="J22" s="106">
        <f t="shared" ref="J22:J23" si="3">+B22+D22+F22+H22</f>
        <v>11270</v>
      </c>
      <c r="K22" s="105">
        <f>+J22/J24</f>
        <v>4.000800422723984E-3</v>
      </c>
    </row>
    <row r="23" spans="1:11" ht="45" customHeight="1" x14ac:dyDescent="0.25">
      <c r="A23" s="96" t="s">
        <v>68</v>
      </c>
      <c r="B23" s="108">
        <f>+'Estructura Básica PPI'!F46+'Estructura Básica PPI'!G46</f>
        <v>9899.1569999999992</v>
      </c>
      <c r="C23" s="104">
        <f>+B23/B24</f>
        <v>1.3624500437698073E-2</v>
      </c>
      <c r="D23" s="108">
        <f>+'Estructura Básica PPI'!M46+'Estructura Básica PPI'!N46</f>
        <v>9947.1527850000002</v>
      </c>
      <c r="E23" s="105">
        <f>+D23/D24</f>
        <v>1.3289180555507098E-2</v>
      </c>
      <c r="F23" s="108">
        <f>+'Estructura Básica PPI'!T46+'Estructura Básica PPI'!U46</f>
        <v>10043.6243115</v>
      </c>
      <c r="G23" s="105">
        <f>+F23/F24</f>
        <v>1.4455752730355187E-2</v>
      </c>
      <c r="H23" s="108">
        <f>+'Estructura Básica PPI'!AA46+'Estructura Básica PPI'!AB46</f>
        <v>10189.778678000001</v>
      </c>
      <c r="I23" s="105">
        <f>+H23/H24</f>
        <v>1.5747640707669052E-2</v>
      </c>
      <c r="J23" s="106">
        <f t="shared" si="3"/>
        <v>40079.712774499996</v>
      </c>
      <c r="K23" s="105">
        <f>+J23/J24</f>
        <v>1.4228121722349196E-2</v>
      </c>
    </row>
    <row r="24" spans="1:11" ht="21.95" customHeight="1" x14ac:dyDescent="0.25">
      <c r="A24" s="98" t="s">
        <v>119</v>
      </c>
      <c r="B24" s="109">
        <f>+B5+B11+B16+B20</f>
        <v>726570.27281599992</v>
      </c>
      <c r="C24" s="110">
        <f>+B24/B24</f>
        <v>1</v>
      </c>
      <c r="D24" s="109">
        <f>+D5+D11+D16+D20</f>
        <v>748515.13556099997</v>
      </c>
      <c r="E24" s="111">
        <f>+D24/D24</f>
        <v>1</v>
      </c>
      <c r="F24" s="109">
        <f>+F5+F11+F16+F20</f>
        <v>694783.90360189998</v>
      </c>
      <c r="G24" s="111">
        <f>+F24/F24</f>
        <v>1</v>
      </c>
      <c r="H24" s="109">
        <f>+H5+H11+H16+H20</f>
        <v>647067.00306145602</v>
      </c>
      <c r="I24" s="111">
        <f>+H24/H24</f>
        <v>1</v>
      </c>
      <c r="J24" s="109">
        <f>+J5+J11+J16+J20</f>
        <v>2816936.3150403565</v>
      </c>
      <c r="K24" s="111">
        <f>+J24/J24</f>
        <v>1</v>
      </c>
    </row>
    <row r="25" spans="1:11" x14ac:dyDescent="0.25">
      <c r="A25" s="250" t="s">
        <v>133</v>
      </c>
      <c r="B25" s="250"/>
      <c r="C25" s="250"/>
      <c r="D25" s="250"/>
      <c r="E25" s="250"/>
      <c r="F25" s="250"/>
      <c r="G25" s="250"/>
      <c r="H25" s="250"/>
      <c r="I25" s="250"/>
      <c r="J25" s="250"/>
      <c r="K25" s="250"/>
    </row>
    <row r="30" spans="1:11" x14ac:dyDescent="0.25">
      <c r="A30" s="86" t="s">
        <v>107</v>
      </c>
      <c r="B30" s="87" t="s">
        <v>84</v>
      </c>
      <c r="C30" s="87" t="s">
        <v>127</v>
      </c>
    </row>
    <row r="31" spans="1:11" ht="34.5" x14ac:dyDescent="0.25">
      <c r="A31" s="83" t="s">
        <v>128</v>
      </c>
      <c r="B31" s="88">
        <f>+J5</f>
        <v>2386489.2922568563</v>
      </c>
      <c r="C31" s="85">
        <f>+B31/B35</f>
        <v>0.84719320046916524</v>
      </c>
    </row>
    <row r="32" spans="1:11" ht="23.25" x14ac:dyDescent="0.25">
      <c r="A32" s="83" t="s">
        <v>129</v>
      </c>
      <c r="B32" s="88">
        <f>+J11</f>
        <v>320305.02517400001</v>
      </c>
      <c r="C32" s="85">
        <f>+B32/B35</f>
        <v>0.11370687489944592</v>
      </c>
    </row>
    <row r="33" spans="1:3" ht="34.5" x14ac:dyDescent="0.25">
      <c r="A33" s="83" t="s">
        <v>130</v>
      </c>
      <c r="B33" s="88">
        <f>+J16</f>
        <v>51010.974876</v>
      </c>
      <c r="C33" s="85">
        <f>+B33/B35</f>
        <v>1.810867168123011E-2</v>
      </c>
    </row>
    <row r="34" spans="1:3" ht="34.5" x14ac:dyDescent="0.25">
      <c r="A34" s="83" t="s">
        <v>131</v>
      </c>
      <c r="B34" s="88">
        <f>+J20</f>
        <v>59131.022733499995</v>
      </c>
      <c r="C34" s="85">
        <f>+B34/B35</f>
        <v>2.0991252950158676E-2</v>
      </c>
    </row>
    <row r="35" spans="1:3" x14ac:dyDescent="0.25">
      <c r="A35" s="82" t="s">
        <v>84</v>
      </c>
      <c r="B35" s="84">
        <f>SUM(B31:B34)</f>
        <v>2816936.3150403565</v>
      </c>
      <c r="C35" s="85">
        <f>B35/B35</f>
        <v>1</v>
      </c>
    </row>
    <row r="36" spans="1:3" x14ac:dyDescent="0.25">
      <c r="B36" s="164"/>
    </row>
  </sheetData>
  <sheetProtection algorithmName="SHA-512" hashValue="17bVfvLqnJWBOIjSUce6vkwZ5fehqGEPPJTWAVV4yQil7xpNWa6iffnGbnOhb8XF4n/zKOHOUaoUupD8M4SSwg==" saltValue="31WzcfDHvPt1upUUS702XQ==" spinCount="100000" sheet="1" objects="1" scenarios="1" selectLockedCells="1" selectUnlockedCells="1"/>
  <mergeCells count="4">
    <mergeCell ref="A1:K1"/>
    <mergeCell ref="A2:K2"/>
    <mergeCell ref="A3:K3"/>
    <mergeCell ref="A25:K25"/>
  </mergeCells>
  <pageMargins left="0.7" right="0.7" top="0.75" bottom="0.75" header="0.3" footer="0.3"/>
  <ignoredErrors>
    <ignoredError sqref="J12:J24 H24:I24 F24:G24 D24:E24 C24 C20:D20 E20:F20 G20:H20 I20 C11:D11 E11:F11 G11:H11 I11 C16:D16 E16:F16 G16:H16 I16 C5:D5 E5:F5 G5:H5 I5 J11" formula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I13"/>
  <sheetViews>
    <sheetView topLeftCell="C1" workbookViewId="0">
      <selection sqref="A1:M17"/>
    </sheetView>
  </sheetViews>
  <sheetFormatPr baseColWidth="10" defaultColWidth="11.42578125" defaultRowHeight="15" x14ac:dyDescent="0.25"/>
  <cols>
    <col min="1" max="1" width="12.42578125" customWidth="1"/>
    <col min="2" max="2" width="38" customWidth="1"/>
    <col min="3" max="6" width="20" bestFit="1" customWidth="1"/>
    <col min="7" max="7" width="13" customWidth="1"/>
    <col min="8" max="8" width="13.140625" customWidth="1"/>
    <col min="9" max="9" width="14.85546875" customWidth="1"/>
  </cols>
  <sheetData>
    <row r="2" spans="1:9" ht="27" customHeight="1" x14ac:dyDescent="0.25">
      <c r="A2" s="27" t="s">
        <v>134</v>
      </c>
      <c r="B2" s="27" t="s">
        <v>107</v>
      </c>
      <c r="C2" s="27">
        <v>2020</v>
      </c>
      <c r="D2" s="27">
        <v>2021</v>
      </c>
      <c r="E2" s="27">
        <v>2022</v>
      </c>
      <c r="F2" s="27">
        <v>2023</v>
      </c>
      <c r="G2" s="27" t="s">
        <v>135</v>
      </c>
      <c r="H2" s="27" t="s">
        <v>136</v>
      </c>
      <c r="I2" s="27" t="s">
        <v>137</v>
      </c>
    </row>
    <row r="3" spans="1:9" ht="15.75" x14ac:dyDescent="0.25">
      <c r="A3" s="29">
        <v>1</v>
      </c>
      <c r="B3" s="30" t="s">
        <v>138</v>
      </c>
      <c r="C3" s="32">
        <f>+C4+C7+C13</f>
        <v>949800707000</v>
      </c>
      <c r="D3" s="32">
        <f t="shared" ref="D3:F3" si="0">+D4+D7+D13</f>
        <v>973516636905</v>
      </c>
      <c r="E3" s="32">
        <f t="shared" si="0"/>
        <v>932251803254</v>
      </c>
      <c r="F3" s="32">
        <f t="shared" si="0"/>
        <v>895417432684</v>
      </c>
      <c r="G3" s="34">
        <f>+(D3-C3)/C3</f>
        <v>2.4969374870132625E-2</v>
      </c>
      <c r="H3" s="34">
        <f>+(E3-D3)/D3</f>
        <v>-4.2387394407751453E-2</v>
      </c>
      <c r="I3" s="34">
        <f>+(F3-E3)/E3</f>
        <v>-3.9511181894666889E-2</v>
      </c>
    </row>
    <row r="4" spans="1:9" ht="15.75" x14ac:dyDescent="0.25">
      <c r="A4" s="29">
        <v>101</v>
      </c>
      <c r="B4" s="30" t="s">
        <v>139</v>
      </c>
      <c r="C4" s="32">
        <f>+C5+C6</f>
        <v>232283329000</v>
      </c>
      <c r="D4" s="32">
        <f t="shared" ref="D4:F4" si="1">+D5+D6</f>
        <v>233443549685</v>
      </c>
      <c r="E4" s="32">
        <f t="shared" si="1"/>
        <v>235777985162</v>
      </c>
      <c r="F4" s="32">
        <f t="shared" si="1"/>
        <v>239246507320</v>
      </c>
      <c r="G4" s="34">
        <f t="shared" ref="G4:G13" si="2">+(D4-C4)/C4</f>
        <v>4.99485128784253E-3</v>
      </c>
      <c r="H4" s="34">
        <f t="shared" ref="H4:H13" si="3">+(E4-D4)/D4</f>
        <v>9.9999999149687369E-3</v>
      </c>
      <c r="I4" s="34">
        <f t="shared" ref="I4:I11" si="4">+(F4-E4)/E4</f>
        <v>1.4710966995569256E-2</v>
      </c>
    </row>
    <row r="5" spans="1:9" x14ac:dyDescent="0.25">
      <c r="A5" s="28">
        <v>10101</v>
      </c>
      <c r="B5" s="20" t="s">
        <v>140</v>
      </c>
      <c r="C5" s="31">
        <v>170631722000</v>
      </c>
      <c r="D5" s="31">
        <v>171483684660</v>
      </c>
      <c r="E5" s="31">
        <v>173198521507</v>
      </c>
      <c r="F5" s="31">
        <v>175796499329</v>
      </c>
      <c r="G5" s="34">
        <f t="shared" si="2"/>
        <v>4.992991045357908E-3</v>
      </c>
      <c r="H5" s="34">
        <f t="shared" si="3"/>
        <v>1.0000000002332584E-2</v>
      </c>
      <c r="I5" s="34">
        <f t="shared" si="4"/>
        <v>1.4999999996506898E-2</v>
      </c>
    </row>
    <row r="6" spans="1:9" x14ac:dyDescent="0.25">
      <c r="A6" s="28">
        <v>10102</v>
      </c>
      <c r="B6" s="20" t="s">
        <v>141</v>
      </c>
      <c r="C6" s="31">
        <v>61651607000</v>
      </c>
      <c r="D6" s="31">
        <v>61959865025</v>
      </c>
      <c r="E6" s="31">
        <v>62579463655</v>
      </c>
      <c r="F6" s="31">
        <v>63450007991</v>
      </c>
      <c r="G6" s="34">
        <f t="shared" si="2"/>
        <v>4.9999998377982264E-3</v>
      </c>
      <c r="H6" s="34">
        <f t="shared" si="3"/>
        <v>9.9999996731755299E-3</v>
      </c>
      <c r="I6" s="34">
        <f t="shared" si="4"/>
        <v>1.3911022644733788E-2</v>
      </c>
    </row>
    <row r="7" spans="1:9" ht="15.75" x14ac:dyDescent="0.25">
      <c r="A7" s="29">
        <v>102</v>
      </c>
      <c r="B7" s="30" t="s">
        <v>142</v>
      </c>
      <c r="C7" s="33">
        <f>SUM(C8:C12)</f>
        <v>622491849000</v>
      </c>
      <c r="D7" s="33">
        <f>SUM(D8:D12)</f>
        <v>544600570575</v>
      </c>
      <c r="E7" s="33">
        <f>SUM(E8:E12)</f>
        <v>550046576281</v>
      </c>
      <c r="F7" s="33">
        <f>SUM(F8:F12)</f>
        <v>558297274925</v>
      </c>
      <c r="G7" s="34">
        <f t="shared" si="2"/>
        <v>-0.12512819011225318</v>
      </c>
      <c r="H7" s="34">
        <f t="shared" si="3"/>
        <v>1.0000000000459051E-2</v>
      </c>
      <c r="I7" s="34">
        <f t="shared" si="4"/>
        <v>1.4999999999609125E-2</v>
      </c>
    </row>
    <row r="8" spans="1:9" x14ac:dyDescent="0.25">
      <c r="A8" s="28">
        <v>10201</v>
      </c>
      <c r="B8" s="20" t="s">
        <v>143</v>
      </c>
      <c r="C8" s="31">
        <v>469430000000</v>
      </c>
      <c r="D8" s="31">
        <v>471777150000</v>
      </c>
      <c r="E8" s="31">
        <v>476494921500</v>
      </c>
      <c r="F8" s="31">
        <v>483642345323</v>
      </c>
      <c r="G8" s="34">
        <f t="shared" si="2"/>
        <v>5.0000000000000001E-3</v>
      </c>
      <c r="H8" s="34">
        <f t="shared" si="3"/>
        <v>0.01</v>
      </c>
      <c r="I8" s="34">
        <f t="shared" si="4"/>
        <v>1.5000000001049328E-2</v>
      </c>
    </row>
    <row r="9" spans="1:9" x14ac:dyDescent="0.25">
      <c r="A9" s="28">
        <v>10202</v>
      </c>
      <c r="B9" s="20" t="s">
        <v>144</v>
      </c>
      <c r="C9" s="31">
        <v>130746738000</v>
      </c>
      <c r="D9" s="31">
        <v>69228937575</v>
      </c>
      <c r="E9" s="31">
        <v>69921226951</v>
      </c>
      <c r="F9" s="31">
        <v>70970045355</v>
      </c>
      <c r="G9" s="34">
        <f t="shared" si="2"/>
        <v>-0.4705111681256629</v>
      </c>
      <c r="H9" s="34">
        <f t="shared" si="3"/>
        <v>1.0000000003611207E-2</v>
      </c>
      <c r="I9" s="34">
        <f t="shared" si="4"/>
        <v>1.4999999996210021E-2</v>
      </c>
    </row>
    <row r="10" spans="1:9" x14ac:dyDescent="0.25">
      <c r="A10" s="28">
        <v>10203</v>
      </c>
      <c r="B10" s="20" t="s">
        <v>145</v>
      </c>
      <c r="C10" s="31">
        <v>2679000000</v>
      </c>
      <c r="D10" s="31">
        <v>2692395000</v>
      </c>
      <c r="E10" s="31">
        <v>2719318950</v>
      </c>
      <c r="F10" s="31">
        <v>2760108734</v>
      </c>
      <c r="G10" s="34">
        <f t="shared" si="2"/>
        <v>5.0000000000000001E-3</v>
      </c>
      <c r="H10" s="34">
        <f t="shared" si="3"/>
        <v>0.01</v>
      </c>
      <c r="I10" s="34">
        <f t="shared" si="4"/>
        <v>1.4999999908065217E-2</v>
      </c>
    </row>
    <row r="11" spans="1:9" x14ac:dyDescent="0.25">
      <c r="A11" s="28">
        <v>10204</v>
      </c>
      <c r="B11" s="20" t="s">
        <v>146</v>
      </c>
      <c r="C11" s="31">
        <v>897600000</v>
      </c>
      <c r="D11" s="31">
        <v>902088000</v>
      </c>
      <c r="E11" s="31">
        <v>911108880</v>
      </c>
      <c r="F11" s="31">
        <v>924775513</v>
      </c>
      <c r="G11" s="34">
        <f t="shared" si="2"/>
        <v>5.0000000000000001E-3</v>
      </c>
      <c r="H11" s="34">
        <f t="shared" si="3"/>
        <v>0.01</v>
      </c>
      <c r="I11" s="34">
        <f t="shared" si="4"/>
        <v>1.4999999780487267E-2</v>
      </c>
    </row>
    <row r="12" spans="1:9" x14ac:dyDescent="0.25">
      <c r="A12" s="28">
        <v>10205</v>
      </c>
      <c r="B12" s="20" t="s">
        <v>147</v>
      </c>
      <c r="C12" s="31">
        <v>18738511000</v>
      </c>
      <c r="D12" s="31">
        <v>0</v>
      </c>
      <c r="E12" s="31">
        <v>0</v>
      </c>
      <c r="F12" s="31">
        <v>0</v>
      </c>
      <c r="G12" s="34">
        <f t="shared" si="2"/>
        <v>-1</v>
      </c>
      <c r="H12" s="34">
        <v>0</v>
      </c>
      <c r="I12" s="34"/>
    </row>
    <row r="13" spans="1:9" ht="15.75" x14ac:dyDescent="0.25">
      <c r="A13" s="29">
        <v>103</v>
      </c>
      <c r="B13" s="30" t="s">
        <v>148</v>
      </c>
      <c r="C13" s="32">
        <v>95025529000</v>
      </c>
      <c r="D13" s="32">
        <v>195472516645</v>
      </c>
      <c r="E13" s="32">
        <v>146427241811</v>
      </c>
      <c r="F13" s="32">
        <v>97873650439</v>
      </c>
      <c r="G13" s="34">
        <f t="shared" si="2"/>
        <v>1.0570526541872765</v>
      </c>
      <c r="H13" s="34">
        <f t="shared" si="3"/>
        <v>-0.25090624337267686</v>
      </c>
      <c r="I13" s="34">
        <f>+(F13-E13)/E13</f>
        <v>-0.33158851298087161</v>
      </c>
    </row>
  </sheetData>
  <sheetProtection algorithmName="SHA-512" hashValue="V1kE8fZDhCd30WIKpJGOXZAy9QyQgyJVr39OHRoLObtvICjujJLWLKlyhHU1GulCLRvJdSKS420fvCnz93f2tg==" saltValue="n/EVFQWbZw1nUbRUd2clUg==" spinCount="100000"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77CF2F4C584C14CB6A1D5EC0D108204" ma:contentTypeVersion="" ma:contentTypeDescription="Crear nuevo documento." ma:contentTypeScope="" ma:versionID="16ecd7ab479a366c8905674f864048d5">
  <xsd:schema xmlns:xsd="http://www.w3.org/2001/XMLSchema" xmlns:xs="http://www.w3.org/2001/XMLSchema" xmlns:p="http://schemas.microsoft.com/office/2006/metadata/properties" xmlns:ns2="120f8689-5056-497d-ae87-938727faf1d8" xmlns:ns3="830010e9-f6cc-47ec-b4cb-91b9603dfab3" targetNamespace="http://schemas.microsoft.com/office/2006/metadata/properties" ma:root="true" ma:fieldsID="662564d83b1e35cd1e3a792800708c08" ns2:_="" ns3:_="">
    <xsd:import namespace="120f8689-5056-497d-ae87-938727faf1d8"/>
    <xsd:import namespace="830010e9-f6cc-47ec-b4cb-91b9603dfa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20f8689-5056-497d-ae87-938727faf1d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30010e9-f6cc-47ec-b4cb-91b9603dfab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A3D4395-C556-40CE-87FD-FFF9312E455F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137BA1EE-CF48-4E6F-B4A2-D62DEABF7C3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20f8689-5056-497d-ae87-938727faf1d8"/>
    <ds:schemaRef ds:uri="830010e9-f6cc-47ec-b4cb-91b9603dfab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8E3F796-1045-474A-BBF0-CB443C574F4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Estructura Básica PPI</vt:lpstr>
      <vt:lpstr>INV. POR FUENTES</vt:lpstr>
      <vt:lpstr>INV. POR POLITICAS</vt:lpstr>
      <vt:lpstr>Hoja1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Juliana Tamayo Amador</dc:creator>
  <cp:keywords/>
  <dc:description/>
  <cp:lastModifiedBy>user2</cp:lastModifiedBy>
  <cp:revision/>
  <dcterms:created xsi:type="dcterms:W3CDTF">2019-10-22T15:02:46Z</dcterms:created>
  <dcterms:modified xsi:type="dcterms:W3CDTF">2020-07-22T00:00:56Z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0x010100977CF2F4C584C14CB6A1D5EC0D108204</vt:lpwstr>
  </property>
</Properties>
</file>